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C:\Users\Jefe Financiera\Desktop\2018\CONTROL INTERNO\"/>
    </mc:Choice>
  </mc:AlternateContent>
  <xr:revisionPtr revIDLastSave="0" documentId="13_ncr:1_{8224BF0E-BA5C-4694-9ECA-8DF8A98FEC1E}" xr6:coauthVersionLast="37" xr6:coauthVersionMax="37" xr10:uidLastSave="{00000000-0000-0000-0000-000000000000}"/>
  <bookViews>
    <workbookView xWindow="0" yWindow="0" windowWidth="20490" windowHeight="6120" activeTab="1" xr2:uid="{00000000-000D-0000-FFFF-FFFF00000000}"/>
  </bookViews>
  <sheets>
    <sheet name="Detalle Plan de Adquisiciones" sheetId="3" r:id="rId1"/>
    <sheet name="POA" sheetId="8" r:id="rId2"/>
    <sheet name="crdto 2018_1" sheetId="71" r:id="rId3"/>
    <sheet name="crdto 2018_3" sheetId="7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#REF!</definedName>
    <definedName name="\C">[1]Indices!#REF!</definedName>
    <definedName name="\D">#REF!</definedName>
    <definedName name="__R">[1]Indices!#REF!</definedName>
    <definedName name="__RAN1">[1]Indices!#REF!</definedName>
    <definedName name="_F">#REF!</definedName>
    <definedName name="_xlnm._FilterDatabase" localSheetId="0" hidden="1">'Detalle Plan de Adquisiciones'!$A$1:$AQ$156</definedName>
    <definedName name="_xlnm._FilterDatabase" localSheetId="1" hidden="1">POA!$A$1:$EJ$243</definedName>
    <definedName name="_IMP1013">#REF!</definedName>
    <definedName name="_imp111">#REF!</definedName>
    <definedName name="_imp1110">#REF!</definedName>
    <definedName name="_IMP1111">#REF!</definedName>
    <definedName name="_IMP1112">#REF!</definedName>
    <definedName name="_IMP1113">#REF!</definedName>
    <definedName name="_IMP1114">#REF!</definedName>
    <definedName name="_IMP1115">#REF!</definedName>
    <definedName name="_IMP1116">#REF!</definedName>
    <definedName name="_imp112">#REF!</definedName>
    <definedName name="_imp113">#REF!</definedName>
    <definedName name="_IMP1132">#REF!</definedName>
    <definedName name="_IMP1133">#REF!</definedName>
    <definedName name="_imp114">#REF!</definedName>
    <definedName name="_IMP115">#REF!</definedName>
    <definedName name="_IMP116">#REF!</definedName>
    <definedName name="_imp117">#REF!</definedName>
    <definedName name="_imp118">#REF!</definedName>
    <definedName name="_imp119">#REF!</definedName>
    <definedName name="_imp84">#REF!</definedName>
    <definedName name="_Key1" hidden="1">#REF!</definedName>
    <definedName name="_Key2"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1">#REF!</definedName>
    <definedName name="_SOR2">#REF!</definedName>
    <definedName name="_Sort" hidden="1">#REF!</definedName>
    <definedName name="_U92016">#REF!</definedName>
    <definedName name="_U92017">#REF!</definedName>
    <definedName name="_U92018">#REF!</definedName>
    <definedName name="A_IMPRESIÓN_IM">#REF!</definedName>
    <definedName name="ABRIL">[2]TASAS!#REF!</definedName>
    <definedName name="AGOSTO">[2]TASAS!#REF!</definedName>
    <definedName name="Agregado">[3]Listas!$E$4:$E$5</definedName>
    <definedName name="año_recuperaciòn">#REF!</definedName>
    <definedName name="AÑO03">#REF!</definedName>
    <definedName name="AÑOS">#REF!</definedName>
    <definedName name="_xlnm.Print_Area" localSheetId="0">'Detalle Plan de Adquisiciones'!$B$1:$AN$223</definedName>
    <definedName name="_xlnm.Print_Area" localSheetId="1">POA!$A$1:$EJ$501</definedName>
    <definedName name="_xlnm.Database">#REF!</definedName>
    <definedName name="C_">#REF!</definedName>
    <definedName name="CANHOYBCH">#REF!</definedName>
    <definedName name="CANHOYBOG">#REF!</definedName>
    <definedName name="CANHOYBQ">#REF!</definedName>
    <definedName name="CANHOYBUC">#REF!</definedName>
    <definedName name="CANHOYCAL">#REF!</definedName>
    <definedName name="CANHOYMED">#REF!</definedName>
    <definedName name="Categorias">[3]Listas!$D$4:$D$9</definedName>
    <definedName name="Concepto">#REF!</definedName>
    <definedName name="CONTRIBU">[4]IPM!$A$1:$V$8</definedName>
    <definedName name="CUADRO10">[5]Hoja1!$B$2:$Z$70</definedName>
    <definedName name="CUADRO11">[5]Hoja1!$B$2:$G$42</definedName>
    <definedName name="CUADRO12">[5]Hoja1!$B$2:$S$104</definedName>
    <definedName name="CUADRO13">[5]Hoja1!$B$2:$K$98</definedName>
    <definedName name="CUADRO14">[5]Hoja1!$B$2:$H$67</definedName>
    <definedName name="CUADRO15">[5]Hoja1!$B$2:$H$112</definedName>
    <definedName name="CUADRO16">[5]Hoja1!$B$2:$J$114</definedName>
    <definedName name="CUADRO17">[5]Hoja1!$B$2:$I$108</definedName>
    <definedName name="CUADRO18">[5]Hoja1!$B$2:$H$159</definedName>
    <definedName name="CUADRO19">[5]Hoja1!$B$2:$K$30</definedName>
    <definedName name="CUADRO20">[5]Hoja1!$B$2:$F$113</definedName>
    <definedName name="CUADRO8">[5]Hoja1!$B$2:$E$66</definedName>
    <definedName name="CUADRO9">[5]Hoja1!$B$2:$O$95</definedName>
    <definedName name="cuaII3A">[6]A!$B$3:$J$101</definedName>
    <definedName name="cuaII3B">[6]A!$B$110:$I$208</definedName>
    <definedName name="cuaII3C">[6]A!$B$217:$I$316</definedName>
    <definedName name="cuaII4A">[6]A!$N$3:$T$104</definedName>
    <definedName name="cuaII4B">[6]A!$N$110:$T$211</definedName>
    <definedName name="cuaII4C">[6]A!$N$217:$T$318</definedName>
    <definedName name="cuaII5A">[6]A!$X$3:$AE$103</definedName>
    <definedName name="cuaII5B">[6]A!$X$110:$AD$210</definedName>
    <definedName name="cuaII5C">[6]A!$X$217:$AD$317</definedName>
    <definedName name="D">[1]Indices!#REF!</definedName>
    <definedName name="de_recuperacion">#REF!</definedName>
    <definedName name="DIA">[2]TASAS!#REF!</definedName>
    <definedName name="Entidad">[3]Listas!$B$4:$B$93</definedName>
    <definedName name="ESTRATEGIAPND">[7]Listas!$Q$4:$Q$31</definedName>
    <definedName name="FACVARIOS">#REF!</definedName>
    <definedName name="FCADMON">#REF!</definedName>
    <definedName name="FCANON">#REF!</definedName>
    <definedName name="FCANONLEY">#REF!</definedName>
    <definedName name="Férreo">#REF!</definedName>
    <definedName name="FIMPUES">#REF!</definedName>
    <definedName name="FINMUOBRAS">#REF!</definedName>
    <definedName name="FOBRAS">#REF!</definedName>
    <definedName name="FSERVICIOS">#REF!</definedName>
    <definedName name="Fuentes">[3]Listas!$C$4:$C$11</definedName>
    <definedName name="FVARIOS">#REF!</definedName>
    <definedName name="GRAFICOS">#REF!</definedName>
    <definedName name="imp84coc">#REF!</definedName>
    <definedName name="imp84con">#REF!</definedName>
    <definedName name="IMPI1">#REF!</definedName>
    <definedName name="IMPII1A">#REF!</definedName>
    <definedName name="IMPII1B">#REF!</definedName>
    <definedName name="IMPII1C">#REF!</definedName>
    <definedName name="IMPII2A">#REF!</definedName>
    <definedName name="IMPII2B">#REF!</definedName>
    <definedName name="IMPII2C">#REF!</definedName>
    <definedName name="IMPII3A">#REF!</definedName>
    <definedName name="IMPII3B">#REF!</definedName>
    <definedName name="IMPII3C">#REF!</definedName>
    <definedName name="IMPII4A">#REF!</definedName>
    <definedName name="IMPII4B">#REF!</definedName>
    <definedName name="IMPII4C">#REF!</definedName>
    <definedName name="IMPII4D">#REF!</definedName>
    <definedName name="IMPII5A">#REF!</definedName>
    <definedName name="IMPII5B">#REF!</definedName>
    <definedName name="IMPII5C">#REF!</definedName>
    <definedName name="IMPII5D">#REF!</definedName>
    <definedName name="IMPIII1A">#REF!</definedName>
    <definedName name="IMPIII1B">#REF!</definedName>
    <definedName name="IMPIII2A">#REF!</definedName>
    <definedName name="IMPIII2B">#REF!</definedName>
    <definedName name="IMPIV1A">#REF!</definedName>
    <definedName name="IMPIV1B">#REF!</definedName>
    <definedName name="IMPIV1C">#REF!</definedName>
    <definedName name="IMPIV1D">#REF!</definedName>
    <definedName name="IMPIV1E">#REF!</definedName>
    <definedName name="IMPIV2">#REF!</definedName>
    <definedName name="impresion">#REF!</definedName>
    <definedName name="impresion2">'[8]101'!#REF!</definedName>
    <definedName name="IMPV1A">#REF!</definedName>
    <definedName name="IMPV1B">#REF!</definedName>
    <definedName name="INTERPLAN">'Detalle Plan de Adquisiciones'!$G$101:$AN$153</definedName>
    <definedName name="ipc">#REF!</definedName>
    <definedName name="ipc_b">#REF!</definedName>
    <definedName name="ipc_s">#REF!</definedName>
    <definedName name="LEYHOYBAQ">#REF!</definedName>
    <definedName name="LEYHOYBOG">#REF!</definedName>
    <definedName name="LEYHOYBUC">#REF!</definedName>
    <definedName name="LEYHOYCAL">#REF!</definedName>
    <definedName name="LEYHOYMED">#REF!</definedName>
    <definedName name="Nro_inmuebles">#REF!</definedName>
    <definedName name="Nro_oblig_recibidas_en_efectivo">#REF!</definedName>
    <definedName name="objetivospnd">[7]Listas!$P$4:$P$11</definedName>
    <definedName name="obra">'Detalle Plan de Adquisiciones'!$G$14:$AI$67</definedName>
    <definedName name="Observado">#REF!</definedName>
    <definedName name="peso95015">#REF!</definedName>
    <definedName name="PON">#REF!</definedName>
    <definedName name="Programado">#REF!</definedName>
    <definedName name="S">#REF!</definedName>
    <definedName name="SOR">#REF!</definedName>
    <definedName name="T">#REF!</definedName>
    <definedName name="TABLA1">#REF!</definedName>
    <definedName name="var">#REF!</definedName>
    <definedName name="VARACORR">#REF!</definedName>
    <definedName name="WILLI">#REF!</definedName>
    <definedName name="Z">[1]Indices!#REF!</definedName>
  </definedNames>
  <calcPr calcId="162913"/>
</workbook>
</file>

<file path=xl/calcChain.xml><?xml version="1.0" encoding="utf-8"?>
<calcChain xmlns="http://schemas.openxmlformats.org/spreadsheetml/2006/main">
  <c r="DX420" i="8" l="1"/>
  <c r="DJ16" i="8" l="1"/>
  <c r="DV169" i="8"/>
  <c r="DV166" i="8"/>
  <c r="DJ8" i="8" l="1"/>
  <c r="DT171" i="8" l="1"/>
  <c r="DV376" i="8" l="1"/>
  <c r="DR181" i="8" l="1"/>
  <c r="DO181" i="8"/>
  <c r="M48" i="3"/>
  <c r="DH150" i="8" l="1"/>
  <c r="AH154" i="3" l="1"/>
  <c r="AH153" i="3"/>
  <c r="AH140" i="3"/>
  <c r="AH139" i="3"/>
  <c r="AH138" i="3"/>
  <c r="AH136" i="3"/>
  <c r="AH134" i="3"/>
  <c r="AM118" i="3"/>
  <c r="AM117" i="3"/>
  <c r="AM115" i="3"/>
  <c r="AM114" i="3"/>
  <c r="AM112" i="3"/>
  <c r="AM110" i="3"/>
  <c r="AM109" i="3"/>
  <c r="L107" i="3"/>
  <c r="AH108" i="3"/>
  <c r="AD108" i="3" s="1"/>
  <c r="Z108" i="3" s="1"/>
  <c r="X108" i="3" s="1"/>
  <c r="AM107" i="3"/>
  <c r="AM106" i="3"/>
  <c r="AM105" i="3"/>
  <c r="AM103" i="3"/>
  <c r="AM102" i="3"/>
  <c r="AL103" i="3" l="1"/>
  <c r="AM101" i="3" l="1"/>
  <c r="AB25" i="3" l="1"/>
  <c r="AE24" i="3" l="1"/>
  <c r="K202" i="3" l="1"/>
  <c r="L129" i="3" l="1"/>
  <c r="L133" i="3" l="1"/>
  <c r="L108" i="3"/>
  <c r="L111" i="3"/>
  <c r="L116" i="3"/>
  <c r="L137" i="3"/>
  <c r="L135" i="3"/>
  <c r="D175" i="8" l="1"/>
  <c r="DL175" i="8" s="1"/>
  <c r="D178" i="8"/>
  <c r="DO166" i="8"/>
  <c r="DO175" i="8" l="1"/>
  <c r="DG175" i="8"/>
  <c r="DH175" i="8"/>
  <c r="DI175" i="8"/>
  <c r="DK175" i="8"/>
  <c r="DM175" i="8"/>
  <c r="DN175" i="8"/>
  <c r="L131" i="3"/>
  <c r="DO150" i="8" l="1"/>
  <c r="DC137" i="8" l="1"/>
  <c r="CY376" i="8" l="1"/>
  <c r="CV130" i="8" l="1"/>
  <c r="CR124" i="8"/>
  <c r="DI144" i="8" l="1"/>
  <c r="D208" i="8" l="1"/>
  <c r="DS208" i="8" s="1"/>
  <c r="CN376" i="8"/>
  <c r="DN208" i="8" l="1"/>
  <c r="DR208" i="8"/>
  <c r="DL208" i="8"/>
  <c r="DP208" i="8"/>
  <c r="DM208" i="8"/>
  <c r="DQ208" i="8"/>
  <c r="DO208" i="8"/>
  <c r="DU166" i="8"/>
  <c r="DM331" i="8" l="1"/>
  <c r="DW168" i="8" l="1"/>
  <c r="DW165" i="8" l="1"/>
  <c r="DW164" i="8"/>
  <c r="E160" i="8"/>
  <c r="DW162" i="8"/>
  <c r="DW161" i="8"/>
  <c r="EA160" i="8"/>
  <c r="ED160" i="8" s="1"/>
  <c r="AH116" i="3"/>
  <c r="AD116" i="3" s="1"/>
  <c r="Z116" i="3" s="1"/>
  <c r="X116" i="3" s="1"/>
  <c r="F116" i="3"/>
  <c r="E163" i="8" s="1"/>
  <c r="D160" i="8"/>
  <c r="AJ31" i="3"/>
  <c r="AE31" i="3"/>
  <c r="Q31" i="3"/>
  <c r="U31" i="3" s="1"/>
  <c r="W31" i="3" s="1"/>
  <c r="Y31" i="3" s="1"/>
  <c r="DL160" i="8" l="1"/>
  <c r="DO160" i="8"/>
  <c r="DK160" i="8"/>
  <c r="DN160" i="8"/>
  <c r="DM160" i="8"/>
  <c r="DJ160" i="8"/>
  <c r="EG160" i="8"/>
  <c r="L109" i="3"/>
  <c r="DW160" i="8" l="1"/>
  <c r="DX160" i="8" s="1"/>
  <c r="DY160" i="8" s="1"/>
  <c r="EH160" i="8" s="1"/>
  <c r="DO16" i="8"/>
  <c r="DZ160" i="8" l="1"/>
  <c r="EI160" i="8"/>
  <c r="EJ160" i="8" s="1"/>
  <c r="CT8" i="8" l="1"/>
  <c r="M32" i="3" l="1"/>
  <c r="D97" i="8" s="1"/>
  <c r="D11" i="71" l="1"/>
  <c r="F18" i="71" s="1"/>
  <c r="DD415" i="8" s="1"/>
  <c r="F9" i="73" l="1"/>
  <c r="F12" i="73" s="1"/>
  <c r="F14" i="73" s="1"/>
  <c r="D4" i="73"/>
  <c r="D11" i="73" s="1"/>
  <c r="F23" i="71"/>
  <c r="F9" i="71"/>
  <c r="F12" i="71" s="1"/>
  <c r="F14" i="71" s="1"/>
  <c r="D4" i="71"/>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56" i="3"/>
  <c r="L153" i="3"/>
  <c r="L152" i="3"/>
  <c r="L151" i="3"/>
  <c r="L150" i="3"/>
  <c r="L149" i="3"/>
  <c r="L148" i="3"/>
  <c r="AH147" i="3"/>
  <c r="AH150" i="3" s="1"/>
  <c r="AH151" i="3" s="1"/>
  <c r="AH152" i="3" s="1"/>
  <c r="L147" i="3"/>
  <c r="L146" i="3"/>
  <c r="AN145" i="3"/>
  <c r="L145" i="3"/>
  <c r="L144" i="3"/>
  <c r="L143" i="3"/>
  <c r="AN142" i="3"/>
  <c r="L142" i="3"/>
  <c r="AN141" i="3"/>
  <c r="L141" i="3"/>
  <c r="L138" i="3"/>
  <c r="AH137" i="3"/>
  <c r="AH135" i="3"/>
  <c r="AD135" i="3" s="1"/>
  <c r="Z135" i="3" s="1"/>
  <c r="X135" i="3" s="1"/>
  <c r="AH133" i="3"/>
  <c r="AD133" i="3" s="1"/>
  <c r="Z133" i="3" s="1"/>
  <c r="X133" i="3" s="1"/>
  <c r="AH132" i="3"/>
  <c r="L132" i="3"/>
  <c r="AH131" i="3"/>
  <c r="AD131" i="3" s="1"/>
  <c r="Z131" i="3" s="1"/>
  <c r="X131" i="3" s="1"/>
  <c r="AH118" i="3"/>
  <c r="AD118" i="3" s="1"/>
  <c r="Z118" i="3" s="1"/>
  <c r="X118" i="3" s="1"/>
  <c r="L118" i="3"/>
  <c r="AH117" i="3"/>
  <c r="AD117" i="3" s="1"/>
  <c r="Z117" i="3" s="1"/>
  <c r="X117" i="3" s="1"/>
  <c r="AH115" i="3"/>
  <c r="F115" i="3"/>
  <c r="E145" i="8" s="1"/>
  <c r="AH114" i="3"/>
  <c r="AD114" i="3" s="1"/>
  <c r="Z114" i="3" s="1"/>
  <c r="X114" i="3" s="1"/>
  <c r="L114" i="3"/>
  <c r="AH113" i="3"/>
  <c r="L113" i="3"/>
  <c r="D217" i="8" s="1"/>
  <c r="AD112" i="3"/>
  <c r="Z112" i="3" s="1"/>
  <c r="X112" i="3" s="1"/>
  <c r="AH111" i="3"/>
  <c r="AD111" i="3" s="1"/>
  <c r="Z111" i="3" s="1"/>
  <c r="X111" i="3" s="1"/>
  <c r="F111" i="3"/>
  <c r="AH110" i="3"/>
  <c r="AD110" i="3" s="1"/>
  <c r="Z110" i="3" s="1"/>
  <c r="X110" i="3" s="1"/>
  <c r="F110" i="3"/>
  <c r="AH109" i="3"/>
  <c r="AD109" i="3" s="1"/>
  <c r="Z109" i="3" s="1"/>
  <c r="X109" i="3" s="1"/>
  <c r="F109" i="3"/>
  <c r="Z107" i="3"/>
  <c r="X107" i="3" s="1"/>
  <c r="AD106" i="3"/>
  <c r="Z106" i="3" s="1"/>
  <c r="X106" i="3" s="1"/>
  <c r="L105" i="3"/>
  <c r="AD104" i="3"/>
  <c r="Z104" i="3" s="1"/>
  <c r="X104" i="3" s="1"/>
  <c r="L104" i="3"/>
  <c r="AD103" i="3"/>
  <c r="Z103" i="3" s="1"/>
  <c r="X103" i="3" s="1"/>
  <c r="AD102" i="3"/>
  <c r="Z102" i="3" s="1"/>
  <c r="X102" i="3" s="1"/>
  <c r="L102" i="3"/>
  <c r="F102" i="3"/>
  <c r="L101" i="3"/>
  <c r="AM100" i="3"/>
  <c r="L100" i="3"/>
  <c r="G100" i="3"/>
  <c r="AM99" i="3"/>
  <c r="AM98" i="3"/>
  <c r="L98" i="3"/>
  <c r="AM97" i="3"/>
  <c r="AM96" i="3"/>
  <c r="L96" i="3"/>
  <c r="G96" i="3"/>
  <c r="AM95" i="3"/>
  <c r="AL95" i="3"/>
  <c r="M86" i="3"/>
  <c r="M85" i="3"/>
  <c r="M79" i="3"/>
  <c r="M78" i="3"/>
  <c r="M76" i="3"/>
  <c r="G69" i="3"/>
  <c r="F69" i="3"/>
  <c r="M67" i="3"/>
  <c r="M77" i="3" s="1"/>
  <c r="EB290" i="8"/>
  <c r="EC290" i="8" s="1"/>
  <c r="EF290" i="8" s="1"/>
  <c r="EB287" i="8"/>
  <c r="AC65" i="3"/>
  <c r="EA287" i="8" s="1"/>
  <c r="ED287" i="8" s="1"/>
  <c r="AC64" i="3"/>
  <c r="AC60" i="3"/>
  <c r="EB269" i="8"/>
  <c r="EB266" i="8"/>
  <c r="EC266" i="8" s="1"/>
  <c r="EF266" i="8" s="1"/>
  <c r="AI56" i="3"/>
  <c r="AI57" i="3" s="1"/>
  <c r="AN144" i="3" s="1"/>
  <c r="AC55" i="3"/>
  <c r="EB254" i="8"/>
  <c r="EC254" i="8" s="1"/>
  <c r="EF254" i="8" s="1"/>
  <c r="EB248" i="8"/>
  <c r="EE248" i="8" s="1"/>
  <c r="M52" i="3"/>
  <c r="AJ50" i="3"/>
  <c r="AE50" i="3"/>
  <c r="Q50" i="3"/>
  <c r="U50" i="3" s="1"/>
  <c r="W50" i="3" s="1"/>
  <c r="Y50" i="3" s="1"/>
  <c r="AJ48" i="3"/>
  <c r="AE48" i="3"/>
  <c r="EB181" i="8" s="1"/>
  <c r="EE181" i="8" s="1"/>
  <c r="Q48" i="3"/>
  <c r="U48" i="3" s="1"/>
  <c r="W48" i="3" s="1"/>
  <c r="Y48" i="3" s="1"/>
  <c r="EB178" i="8"/>
  <c r="L134" i="3"/>
  <c r="AJ46" i="3"/>
  <c r="AE46" i="3"/>
  <c r="EB175" i="8" s="1"/>
  <c r="EC175" i="8" s="1"/>
  <c r="EF175" i="8" s="1"/>
  <c r="Q46" i="3"/>
  <c r="U46" i="3" s="1"/>
  <c r="W46" i="3" s="1"/>
  <c r="Y46" i="3" s="1"/>
  <c r="EB172" i="8"/>
  <c r="AJ44" i="3"/>
  <c r="AE44" i="3"/>
  <c r="Q44" i="3"/>
  <c r="U44" i="3" s="1"/>
  <c r="W44" i="3" s="1"/>
  <c r="Y44" i="3" s="1"/>
  <c r="AJ34" i="3"/>
  <c r="AE34" i="3"/>
  <c r="EB130" i="8" s="1"/>
  <c r="EC130" i="8" s="1"/>
  <c r="EF130" i="8" s="1"/>
  <c r="Q34" i="3"/>
  <c r="U34" i="3" s="1"/>
  <c r="W34" i="3" s="1"/>
  <c r="Y34" i="3" s="1"/>
  <c r="AJ33" i="3"/>
  <c r="AE33" i="3"/>
  <c r="Q33" i="3"/>
  <c r="U33" i="3" s="1"/>
  <c r="W33" i="3" s="1"/>
  <c r="Y33" i="3" s="1"/>
  <c r="M33" i="3"/>
  <c r="AJ32" i="3"/>
  <c r="AE32" i="3"/>
  <c r="Q32" i="3"/>
  <c r="U32" i="3" s="1"/>
  <c r="W32" i="3" s="1"/>
  <c r="Y32" i="3" s="1"/>
  <c r="AJ30" i="3"/>
  <c r="AE30" i="3"/>
  <c r="EB160" i="8" s="1"/>
  <c r="Q30" i="3"/>
  <c r="U30" i="3" s="1"/>
  <c r="W30" i="3" s="1"/>
  <c r="Y30" i="3" s="1"/>
  <c r="AJ29" i="3"/>
  <c r="AE29" i="3"/>
  <c r="EB118" i="8" s="1"/>
  <c r="EC118" i="8" s="1"/>
  <c r="EF118" i="8" s="1"/>
  <c r="Q29" i="3"/>
  <c r="U29" i="3" s="1"/>
  <c r="W29" i="3" s="1"/>
  <c r="Y29" i="3" s="1"/>
  <c r="AN27" i="3"/>
  <c r="AJ27" i="3"/>
  <c r="AE27" i="3"/>
  <c r="EB112" i="8" s="1"/>
  <c r="EE112" i="8" s="1"/>
  <c r="Q27" i="3"/>
  <c r="U27" i="3" s="1"/>
  <c r="W27" i="3" s="1"/>
  <c r="Y27" i="3" s="1"/>
  <c r="AJ26" i="3"/>
  <c r="AE26" i="3"/>
  <c r="Q26" i="3"/>
  <c r="U26" i="3" s="1"/>
  <c r="W26" i="3" s="1"/>
  <c r="Y26" i="3" s="1"/>
  <c r="AJ25" i="3"/>
  <c r="AE25" i="3"/>
  <c r="Q25" i="3"/>
  <c r="U25" i="3" s="1"/>
  <c r="W25" i="3" s="1"/>
  <c r="Y25" i="3" s="1"/>
  <c r="Q24" i="3"/>
  <c r="U24" i="3" s="1"/>
  <c r="W24" i="3" s="1"/>
  <c r="Y24" i="3" s="1"/>
  <c r="AJ23" i="3"/>
  <c r="AJ22" i="3"/>
  <c r="EB94" i="8"/>
  <c r="EE94" i="8" s="1"/>
  <c r="AJ21" i="3"/>
  <c r="AJ20" i="3"/>
  <c r="EB88" i="8"/>
  <c r="EC88" i="8" s="1"/>
  <c r="EF88" i="8" s="1"/>
  <c r="AJ19" i="3"/>
  <c r="EB85" i="8"/>
  <c r="AJ18" i="3"/>
  <c r="EB73" i="8"/>
  <c r="G68" i="3"/>
  <c r="AJ16" i="3"/>
  <c r="AJ14" i="3"/>
  <c r="EB61" i="8"/>
  <c r="EC61" i="8" s="1"/>
  <c r="EF61" i="8" s="1"/>
  <c r="AJ13" i="3"/>
  <c r="AJ12" i="3"/>
  <c r="AJ11" i="3"/>
  <c r="A11" i="3"/>
  <c r="AJ10" i="3"/>
  <c r="AJ9" i="3"/>
  <c r="AJ8" i="3"/>
  <c r="AJ7" i="3"/>
  <c r="AJ6" i="3"/>
  <c r="L479" i="8"/>
  <c r="M479" i="8" s="1"/>
  <c r="N479" i="8" s="1"/>
  <c r="O479" i="8" s="1"/>
  <c r="P479" i="8" s="1"/>
  <c r="Q479" i="8" s="1"/>
  <c r="J479" i="8"/>
  <c r="I479" i="8" s="1"/>
  <c r="H479" i="8" s="1"/>
  <c r="G479" i="8" s="1"/>
  <c r="K478" i="8"/>
  <c r="L478" i="8" s="1"/>
  <c r="M478" i="8" s="1"/>
  <c r="N478" i="8" s="1"/>
  <c r="O478" i="8" s="1"/>
  <c r="P478" i="8" s="1"/>
  <c r="I478" i="8"/>
  <c r="H478" i="8" s="1"/>
  <c r="G478" i="8" s="1"/>
  <c r="J477" i="8"/>
  <c r="K477" i="8" s="1"/>
  <c r="L477" i="8" s="1"/>
  <c r="M477" i="8" s="1"/>
  <c r="N477" i="8" s="1"/>
  <c r="O477" i="8" s="1"/>
  <c r="P477" i="8" s="1"/>
  <c r="Q477" i="8" s="1"/>
  <c r="H477" i="8"/>
  <c r="G477" i="8" s="1"/>
  <c r="I476" i="8"/>
  <c r="J476" i="8" s="1"/>
  <c r="K476" i="8" s="1"/>
  <c r="L476" i="8" s="1"/>
  <c r="M476" i="8" s="1"/>
  <c r="N476" i="8" s="1"/>
  <c r="O476" i="8" s="1"/>
  <c r="P476" i="8" s="1"/>
  <c r="Q476" i="8" s="1"/>
  <c r="G476" i="8"/>
  <c r="H475" i="8"/>
  <c r="I475" i="8" s="1"/>
  <c r="J475" i="8" s="1"/>
  <c r="K475" i="8" s="1"/>
  <c r="L475" i="8" s="1"/>
  <c r="M475" i="8" s="1"/>
  <c r="N475" i="8" s="1"/>
  <c r="O475" i="8" s="1"/>
  <c r="P475" i="8" s="1"/>
  <c r="Q475" i="8" s="1"/>
  <c r="N461" i="8"/>
  <c r="L461" i="8"/>
  <c r="L485" i="8" s="1"/>
  <c r="K461" i="8"/>
  <c r="K485" i="8" s="1"/>
  <c r="J461" i="8"/>
  <c r="J485" i="8" s="1"/>
  <c r="I461" i="8"/>
  <c r="I485" i="8" s="1"/>
  <c r="H461" i="8"/>
  <c r="H485" i="8" s="1"/>
  <c r="G461" i="8"/>
  <c r="G485" i="8" s="1"/>
  <c r="L456" i="8"/>
  <c r="P449" i="8"/>
  <c r="O449" i="8"/>
  <c r="N449" i="8"/>
  <c r="M449" i="8"/>
  <c r="B444" i="8"/>
  <c r="C444" i="8" s="1"/>
  <c r="D444" i="8" s="1"/>
  <c r="E444" i="8" s="1"/>
  <c r="F444" i="8" s="1"/>
  <c r="G444" i="8" s="1"/>
  <c r="H444" i="8" s="1"/>
  <c r="I444" i="8" s="1"/>
  <c r="J444" i="8" s="1"/>
  <c r="K444" i="8" s="1"/>
  <c r="L444" i="8" s="1"/>
  <c r="M444" i="8" s="1"/>
  <c r="N444" i="8" s="1"/>
  <c r="O444" i="8" s="1"/>
  <c r="P444" i="8" s="1"/>
  <c r="Q444" i="8" s="1"/>
  <c r="R444" i="8" s="1"/>
  <c r="S444" i="8" s="1"/>
  <c r="T444" i="8" s="1"/>
  <c r="U444" i="8" s="1"/>
  <c r="V444" i="8" s="1"/>
  <c r="W444" i="8" s="1"/>
  <c r="X444" i="8" s="1"/>
  <c r="Y444" i="8" s="1"/>
  <c r="Z444" i="8" s="1"/>
  <c r="AA444" i="8" s="1"/>
  <c r="AB444" i="8" s="1"/>
  <c r="AC444" i="8" s="1"/>
  <c r="AD444" i="8" s="1"/>
  <c r="AE444" i="8" s="1"/>
  <c r="AF444" i="8" s="1"/>
  <c r="AG444" i="8" s="1"/>
  <c r="AH444" i="8" s="1"/>
  <c r="AI444" i="8" s="1"/>
  <c r="AJ444" i="8" s="1"/>
  <c r="AK444" i="8" s="1"/>
  <c r="AL444" i="8" s="1"/>
  <c r="AM444" i="8" s="1"/>
  <c r="AN444" i="8" s="1"/>
  <c r="AO444" i="8" s="1"/>
  <c r="AP444" i="8" s="1"/>
  <c r="AQ444" i="8" s="1"/>
  <c r="AR444" i="8" s="1"/>
  <c r="AS444" i="8" s="1"/>
  <c r="AT444" i="8" s="1"/>
  <c r="AU444" i="8" s="1"/>
  <c r="AV444" i="8" s="1"/>
  <c r="AW444" i="8" s="1"/>
  <c r="AX444" i="8" s="1"/>
  <c r="AY444" i="8" s="1"/>
  <c r="AZ444" i="8" s="1"/>
  <c r="BA444" i="8" s="1"/>
  <c r="BB444" i="8" s="1"/>
  <c r="BC444" i="8" s="1"/>
  <c r="BD444" i="8" s="1"/>
  <c r="BE444" i="8" s="1"/>
  <c r="BF444" i="8" s="1"/>
  <c r="BG444" i="8" s="1"/>
  <c r="BH444" i="8" s="1"/>
  <c r="BI444" i="8" s="1"/>
  <c r="BJ444" i="8" s="1"/>
  <c r="BK444" i="8" s="1"/>
  <c r="BL444" i="8" s="1"/>
  <c r="BM444" i="8" s="1"/>
  <c r="BN444" i="8" s="1"/>
  <c r="BO444" i="8" s="1"/>
  <c r="BP444" i="8" s="1"/>
  <c r="BQ444" i="8" s="1"/>
  <c r="BR444" i="8" s="1"/>
  <c r="BS444" i="8" s="1"/>
  <c r="BT444" i="8" s="1"/>
  <c r="BU444" i="8" s="1"/>
  <c r="BV444" i="8" s="1"/>
  <c r="BW444" i="8" s="1"/>
  <c r="BX444" i="8" s="1"/>
  <c r="BY444" i="8" s="1"/>
  <c r="BZ444" i="8" s="1"/>
  <c r="CA444" i="8" s="1"/>
  <c r="CB444" i="8" s="1"/>
  <c r="CC444" i="8" s="1"/>
  <c r="CD444" i="8" s="1"/>
  <c r="CE444" i="8" s="1"/>
  <c r="CF444" i="8" s="1"/>
  <c r="CG444" i="8" s="1"/>
  <c r="CH444" i="8" s="1"/>
  <c r="CI444" i="8" s="1"/>
  <c r="CJ444" i="8" s="1"/>
  <c r="CK444" i="8" s="1"/>
  <c r="CL444" i="8" s="1"/>
  <c r="DW444" i="8" s="1"/>
  <c r="DX444" i="8" s="1"/>
  <c r="DY444" i="8" s="1"/>
  <c r="DZ444" i="8" s="1"/>
  <c r="DI430" i="8"/>
  <c r="DF430" i="8"/>
  <c r="DD430" i="8"/>
  <c r="DA430" i="8"/>
  <c r="CY430" i="8"/>
  <c r="CV430" i="8"/>
  <c r="CS430" i="8"/>
  <c r="CP430" i="8"/>
  <c r="CM430" i="8"/>
  <c r="CL430" i="8"/>
  <c r="CJ430" i="8"/>
  <c r="CI430" i="8"/>
  <c r="CH430" i="8"/>
  <c r="CG430" i="8"/>
  <c r="CF430" i="8"/>
  <c r="CE430" i="8"/>
  <c r="CD430" i="8"/>
  <c r="CC430" i="8"/>
  <c r="CB430" i="8"/>
  <c r="CA430" i="8"/>
  <c r="BZ430" i="8"/>
  <c r="BY430" i="8"/>
  <c r="BX430" i="8"/>
  <c r="BW430" i="8"/>
  <c r="BV430" i="8"/>
  <c r="BU430" i="8"/>
  <c r="BT430" i="8"/>
  <c r="BS430" i="8"/>
  <c r="BR430" i="8"/>
  <c r="BQ430" i="8"/>
  <c r="BP430" i="8"/>
  <c r="BO430" i="8"/>
  <c r="BN430" i="8"/>
  <c r="BM430" i="8"/>
  <c r="BL430" i="8"/>
  <c r="BJ430" i="8"/>
  <c r="BI430" i="8"/>
  <c r="BH430" i="8"/>
  <c r="BG430" i="8"/>
  <c r="BF430" i="8"/>
  <c r="BE430" i="8"/>
  <c r="BD430" i="8"/>
  <c r="BC430" i="8"/>
  <c r="BB430" i="8"/>
  <c r="BA430" i="8"/>
  <c r="AZ430" i="8"/>
  <c r="AY430" i="8"/>
  <c r="AX430" i="8"/>
  <c r="AW430" i="8"/>
  <c r="AV430" i="8"/>
  <c r="AU430" i="8"/>
  <c r="AS430" i="8"/>
  <c r="AR430" i="8"/>
  <c r="AQ430" i="8"/>
  <c r="AP430" i="8"/>
  <c r="AO430" i="8"/>
  <c r="AN430" i="8"/>
  <c r="AM430" i="8"/>
  <c r="AL430" i="8"/>
  <c r="AK430" i="8"/>
  <c r="AJ430" i="8"/>
  <c r="AI430" i="8"/>
  <c r="AH430" i="8"/>
  <c r="AG430" i="8"/>
  <c r="AF430" i="8"/>
  <c r="AE430" i="8"/>
  <c r="AC430" i="8"/>
  <c r="AB430" i="8"/>
  <c r="AA430" i="8"/>
  <c r="Z430" i="8"/>
  <c r="Y430" i="8"/>
  <c r="X430" i="8"/>
  <c r="W430" i="8"/>
  <c r="V430" i="8"/>
  <c r="U430" i="8"/>
  <c r="T430" i="8"/>
  <c r="S430" i="8"/>
  <c r="R430" i="8"/>
  <c r="Q430" i="8"/>
  <c r="P430" i="8"/>
  <c r="O430" i="8"/>
  <c r="N430" i="8"/>
  <c r="M430" i="8"/>
  <c r="L430" i="8"/>
  <c r="K430" i="8"/>
  <c r="J430" i="8"/>
  <c r="I430" i="8"/>
  <c r="H430" i="8"/>
  <c r="G430" i="8"/>
  <c r="DI429" i="8"/>
  <c r="DF429" i="8"/>
  <c r="DA429" i="8"/>
  <c r="CY429" i="8"/>
  <c r="CV429" i="8"/>
  <c r="CS429" i="8"/>
  <c r="CP429" i="8"/>
  <c r="CM429" i="8"/>
  <c r="CL429" i="8"/>
  <c r="CJ429" i="8"/>
  <c r="CI429" i="8"/>
  <c r="CH429" i="8"/>
  <c r="CG429" i="8"/>
  <c r="CF429" i="8"/>
  <c r="CE429" i="8"/>
  <c r="CD429" i="8"/>
  <c r="CC429" i="8"/>
  <c r="CB429" i="8"/>
  <c r="CA429" i="8"/>
  <c r="BZ429" i="8"/>
  <c r="BY429" i="8"/>
  <c r="BX429" i="8"/>
  <c r="BW429" i="8"/>
  <c r="BV429" i="8"/>
  <c r="BU429" i="8"/>
  <c r="BT429" i="8"/>
  <c r="BS429" i="8"/>
  <c r="BR429" i="8"/>
  <c r="BQ429" i="8"/>
  <c r="BP429" i="8"/>
  <c r="BO429" i="8"/>
  <c r="BN429" i="8"/>
  <c r="BM429" i="8"/>
  <c r="BL429" i="8"/>
  <c r="BK429" i="8"/>
  <c r="BJ429" i="8"/>
  <c r="BI429" i="8"/>
  <c r="BH429" i="8"/>
  <c r="AT429" i="8"/>
  <c r="DJ426" i="8"/>
  <c r="DI426" i="8"/>
  <c r="DH426" i="8"/>
  <c r="DG426" i="8"/>
  <c r="DF426" i="8"/>
  <c r="DE426" i="8"/>
  <c r="DD426" i="8"/>
  <c r="DC426" i="8"/>
  <c r="DB426" i="8"/>
  <c r="DA426" i="8"/>
  <c r="CZ426" i="8"/>
  <c r="CY426" i="8"/>
  <c r="CX426" i="8"/>
  <c r="CW426" i="8"/>
  <c r="CV426" i="8"/>
  <c r="CU426" i="8"/>
  <c r="CT426" i="8"/>
  <c r="CS426" i="8"/>
  <c r="CR426" i="8"/>
  <c r="CQ426" i="8"/>
  <c r="CP426" i="8"/>
  <c r="CO426" i="8"/>
  <c r="CN426" i="8"/>
  <c r="CM426" i="8"/>
  <c r="CL426" i="8"/>
  <c r="CK426" i="8"/>
  <c r="CJ426" i="8"/>
  <c r="CI426" i="8"/>
  <c r="CH426" i="8"/>
  <c r="CG426" i="8"/>
  <c r="CF426" i="8"/>
  <c r="CE426" i="8"/>
  <c r="CD426" i="8"/>
  <c r="CC426" i="8"/>
  <c r="CB426" i="8"/>
  <c r="CA426" i="8"/>
  <c r="BZ426" i="8"/>
  <c r="BY426" i="8"/>
  <c r="BX426" i="8"/>
  <c r="BW426" i="8"/>
  <c r="BV426" i="8"/>
  <c r="BU426" i="8"/>
  <c r="BT426" i="8"/>
  <c r="BS426" i="8"/>
  <c r="BR426" i="8"/>
  <c r="BQ426" i="8"/>
  <c r="BP426" i="8"/>
  <c r="BO426" i="8"/>
  <c r="BN426" i="8"/>
  <c r="BM426" i="8"/>
  <c r="BL426" i="8"/>
  <c r="BK426" i="8"/>
  <c r="BJ426" i="8"/>
  <c r="BI426" i="8"/>
  <c r="BH426" i="8"/>
  <c r="BG426" i="8"/>
  <c r="BF426" i="8"/>
  <c r="BE426" i="8"/>
  <c r="BD426" i="8"/>
  <c r="BC426" i="8"/>
  <c r="BB426" i="8"/>
  <c r="BA426" i="8"/>
  <c r="AZ426" i="8"/>
  <c r="AY426" i="8"/>
  <c r="AX426" i="8"/>
  <c r="AW426" i="8"/>
  <c r="AV426" i="8"/>
  <c r="AU426" i="8"/>
  <c r="AT426" i="8"/>
  <c r="AS426" i="8"/>
  <c r="AR426" i="8"/>
  <c r="AQ426" i="8"/>
  <c r="AP426" i="8"/>
  <c r="AO426" i="8"/>
  <c r="AN426" i="8"/>
  <c r="AM426" i="8"/>
  <c r="AL426" i="8"/>
  <c r="AK426" i="8"/>
  <c r="AJ426" i="8"/>
  <c r="AI426" i="8"/>
  <c r="AH426" i="8"/>
  <c r="AG426" i="8"/>
  <c r="AF426" i="8"/>
  <c r="AE426" i="8"/>
  <c r="AD426" i="8"/>
  <c r="AC426" i="8"/>
  <c r="AB426" i="8"/>
  <c r="AA426" i="8"/>
  <c r="Z426" i="8"/>
  <c r="Y426" i="8"/>
  <c r="X426" i="8"/>
  <c r="W426" i="8"/>
  <c r="V426" i="8"/>
  <c r="U426" i="8"/>
  <c r="T426" i="8"/>
  <c r="S426" i="8"/>
  <c r="R426" i="8"/>
  <c r="Q426" i="8"/>
  <c r="P426" i="8"/>
  <c r="O426" i="8"/>
  <c r="N426" i="8"/>
  <c r="M426" i="8"/>
  <c r="L426" i="8"/>
  <c r="K426" i="8"/>
  <c r="J426" i="8"/>
  <c r="I426" i="8"/>
  <c r="H426" i="8"/>
  <c r="G426" i="8"/>
  <c r="G427" i="8" s="1"/>
  <c r="G419" i="8"/>
  <c r="DC415" i="8"/>
  <c r="DC430" i="8" s="1"/>
  <c r="CZ415" i="8"/>
  <c r="CX415" i="8"/>
  <c r="CX430" i="8" s="1"/>
  <c r="CW415" i="8"/>
  <c r="CW430" i="8" s="1"/>
  <c r="CU415" i="8"/>
  <c r="CU430" i="8" s="1"/>
  <c r="CT415" i="8"/>
  <c r="CT430" i="8" s="1"/>
  <c r="CR415" i="8"/>
  <c r="CR430" i="8" s="1"/>
  <c r="CQ415" i="8"/>
  <c r="CQ430" i="8" s="1"/>
  <c r="CO415" i="8"/>
  <c r="CO430" i="8" s="1"/>
  <c r="CN415" i="8"/>
  <c r="CK415" i="8"/>
  <c r="CK430" i="8" s="1"/>
  <c r="BK415" i="8"/>
  <c r="BK430" i="8" s="1"/>
  <c r="AT415" i="8"/>
  <c r="AT430" i="8" s="1"/>
  <c r="AD415" i="8"/>
  <c r="DC414" i="8"/>
  <c r="DC429" i="8" s="1"/>
  <c r="CZ414" i="8"/>
  <c r="CZ429" i="8" s="1"/>
  <c r="CX414" i="8"/>
  <c r="CX429" i="8" s="1"/>
  <c r="CW414" i="8"/>
  <c r="CW429" i="8" s="1"/>
  <c r="CU414" i="8"/>
  <c r="CU429" i="8" s="1"/>
  <c r="CT414" i="8"/>
  <c r="CT429" i="8" s="1"/>
  <c r="CR414" i="8"/>
  <c r="CR429" i="8" s="1"/>
  <c r="CQ414" i="8"/>
  <c r="CQ429" i="8" s="1"/>
  <c r="CO414" i="8"/>
  <c r="CO429" i="8" s="1"/>
  <c r="CN414" i="8"/>
  <c r="CN429" i="8" s="1"/>
  <c r="CK414" i="8"/>
  <c r="CK429" i="8" s="1"/>
  <c r="AP414" i="8"/>
  <c r="AO414" i="8"/>
  <c r="AN414" i="8"/>
  <c r="AM414" i="8"/>
  <c r="AL414" i="8"/>
  <c r="AJ414" i="8"/>
  <c r="AG414" i="8"/>
  <c r="AD414" i="8"/>
  <c r="AA414" i="8"/>
  <c r="G414" i="8"/>
  <c r="DW413" i="8"/>
  <c r="DW412" i="8"/>
  <c r="DV402" i="8"/>
  <c r="DU402" i="8"/>
  <c r="DT402" i="8"/>
  <c r="DS402" i="8"/>
  <c r="DR402" i="8"/>
  <c r="DQ402" i="8"/>
  <c r="DP402" i="8"/>
  <c r="DO402" i="8"/>
  <c r="DN402" i="8"/>
  <c r="DM402" i="8"/>
  <c r="DL402" i="8"/>
  <c r="DK402" i="8"/>
  <c r="DJ402" i="8"/>
  <c r="DI402" i="8"/>
  <c r="DH402" i="8"/>
  <c r="DG402" i="8"/>
  <c r="DF402" i="8"/>
  <c r="DE402" i="8"/>
  <c r="DD402" i="8"/>
  <c r="DC402" i="8"/>
  <c r="DB402" i="8"/>
  <c r="DA402" i="8"/>
  <c r="CY402" i="8"/>
  <c r="CX402" i="8"/>
  <c r="CW402" i="8"/>
  <c r="CV402" i="8"/>
  <c r="CU402" i="8"/>
  <c r="CT402" i="8"/>
  <c r="CS402" i="8"/>
  <c r="CR402" i="8"/>
  <c r="CQ402" i="8"/>
  <c r="CP402" i="8"/>
  <c r="CO402" i="8"/>
  <c r="CN402" i="8"/>
  <c r="CM402" i="8"/>
  <c r="CL402" i="8"/>
  <c r="CK402" i="8"/>
  <c r="CJ402" i="8"/>
  <c r="CI402" i="8"/>
  <c r="CH402" i="8"/>
  <c r="CG402" i="8"/>
  <c r="CF402" i="8"/>
  <c r="CE402" i="8"/>
  <c r="CD402" i="8"/>
  <c r="CC402" i="8"/>
  <c r="CB402" i="8"/>
  <c r="CA402" i="8"/>
  <c r="BZ402" i="8"/>
  <c r="BY402" i="8"/>
  <c r="BX402" i="8"/>
  <c r="BW402" i="8"/>
  <c r="BV402" i="8"/>
  <c r="BU402" i="8"/>
  <c r="BT402" i="8"/>
  <c r="BS402" i="8"/>
  <c r="BR402" i="8"/>
  <c r="BQ402" i="8"/>
  <c r="BP402" i="8"/>
  <c r="BO402" i="8"/>
  <c r="BN402" i="8"/>
  <c r="BM402" i="8"/>
  <c r="BL402" i="8"/>
  <c r="BK402" i="8"/>
  <c r="BJ402" i="8"/>
  <c r="BI402" i="8"/>
  <c r="BH402" i="8"/>
  <c r="BF402" i="8"/>
  <c r="BD402" i="8"/>
  <c r="BC402" i="8"/>
  <c r="BA402" i="8"/>
  <c r="AX402" i="8"/>
  <c r="AQ402" i="8"/>
  <c r="AP402" i="8"/>
  <c r="AO402" i="8"/>
  <c r="AK402" i="8"/>
  <c r="AJ402" i="8"/>
  <c r="AH402" i="8"/>
  <c r="AG402" i="8"/>
  <c r="AF402" i="8"/>
  <c r="AE402" i="8"/>
  <c r="AD402" i="8"/>
  <c r="AC402" i="8"/>
  <c r="AB402" i="8"/>
  <c r="AA402" i="8"/>
  <c r="Z402" i="8"/>
  <c r="Y402" i="8"/>
  <c r="X402" i="8"/>
  <c r="W402" i="8"/>
  <c r="V402" i="8"/>
  <c r="U402" i="8"/>
  <c r="T402" i="8"/>
  <c r="S402" i="8"/>
  <c r="Q402" i="8"/>
  <c r="P402" i="8"/>
  <c r="O402" i="8"/>
  <c r="N402" i="8"/>
  <c r="M402" i="8"/>
  <c r="L402" i="8"/>
  <c r="K402" i="8"/>
  <c r="J402" i="8"/>
  <c r="I402" i="8"/>
  <c r="H402" i="8"/>
  <c r="BO401" i="8"/>
  <c r="BO403" i="8" s="1"/>
  <c r="BE401" i="8"/>
  <c r="BD401" i="8"/>
  <c r="BC401" i="8"/>
  <c r="BB401" i="8"/>
  <c r="BA401" i="8"/>
  <c r="AY401" i="8"/>
  <c r="AX401" i="8"/>
  <c r="AW401" i="8"/>
  <c r="AV401" i="8"/>
  <c r="AU401" i="8"/>
  <c r="AT401" i="8"/>
  <c r="AS401" i="8"/>
  <c r="AR401" i="8"/>
  <c r="AQ401" i="8"/>
  <c r="AP401" i="8"/>
  <c r="AO401" i="8"/>
  <c r="AN401" i="8"/>
  <c r="AL401" i="8"/>
  <c r="AK401" i="8"/>
  <c r="AJ401" i="8"/>
  <c r="AI401" i="8"/>
  <c r="AH401" i="8"/>
  <c r="AH403" i="8" s="1"/>
  <c r="AG401" i="8"/>
  <c r="AG403" i="8" s="1"/>
  <c r="AF401" i="8"/>
  <c r="AF403" i="8" s="1"/>
  <c r="AE401" i="8"/>
  <c r="AE403" i="8" s="1"/>
  <c r="AD401" i="8"/>
  <c r="AD403" i="8" s="1"/>
  <c r="AC401" i="8"/>
  <c r="AC403" i="8" s="1"/>
  <c r="AB401" i="8"/>
  <c r="AB403" i="8" s="1"/>
  <c r="AA401" i="8"/>
  <c r="AA403" i="8" s="1"/>
  <c r="Z401" i="8"/>
  <c r="Z403" i="8" s="1"/>
  <c r="Y401" i="8"/>
  <c r="Y403" i="8" s="1"/>
  <c r="X401" i="8"/>
  <c r="X403" i="8" s="1"/>
  <c r="W401" i="8"/>
  <c r="W403" i="8" s="1"/>
  <c r="V401" i="8"/>
  <c r="V403" i="8" s="1"/>
  <c r="U401" i="8"/>
  <c r="U403" i="8" s="1"/>
  <c r="T401" i="8"/>
  <c r="T403" i="8" s="1"/>
  <c r="S401" i="8"/>
  <c r="R401" i="8"/>
  <c r="Q401" i="8"/>
  <c r="P401" i="8"/>
  <c r="O401" i="8"/>
  <c r="N401" i="8"/>
  <c r="M401" i="8"/>
  <c r="L401" i="8"/>
  <c r="K401" i="8"/>
  <c r="J401" i="8"/>
  <c r="I401" i="8"/>
  <c r="H401" i="8"/>
  <c r="G401" i="8"/>
  <c r="DV400" i="8"/>
  <c r="DU400" i="8"/>
  <c r="DT400" i="8"/>
  <c r="DS400" i="8"/>
  <c r="DR400" i="8"/>
  <c r="DQ400" i="8"/>
  <c r="DP400" i="8"/>
  <c r="DO400" i="8"/>
  <c r="DN400" i="8"/>
  <c r="DM400" i="8"/>
  <c r="DL400" i="8"/>
  <c r="DK400" i="8"/>
  <c r="DJ400" i="8"/>
  <c r="DI400" i="8"/>
  <c r="DH400" i="8"/>
  <c r="DG400" i="8"/>
  <c r="DF400" i="8"/>
  <c r="DE400" i="8"/>
  <c r="DD400" i="8"/>
  <c r="DC400" i="8"/>
  <c r="DB400" i="8"/>
  <c r="DA400" i="8"/>
  <c r="CZ400" i="8"/>
  <c r="CZ399" i="8" s="1"/>
  <c r="CY400" i="8"/>
  <c r="CX400" i="8"/>
  <c r="CX399" i="8" s="1"/>
  <c r="CW400" i="8"/>
  <c r="CW399" i="8" s="1"/>
  <c r="CV400" i="8"/>
  <c r="CV399" i="8" s="1"/>
  <c r="CU400" i="8"/>
  <c r="CU399" i="8" s="1"/>
  <c r="CT400" i="8"/>
  <c r="CT399" i="8" s="1"/>
  <c r="CS400" i="8"/>
  <c r="CS399" i="8" s="1"/>
  <c r="CR400" i="8"/>
  <c r="CR399" i="8" s="1"/>
  <c r="CQ400" i="8"/>
  <c r="CP400" i="8"/>
  <c r="CP399" i="8" s="1"/>
  <c r="CO400" i="8"/>
  <c r="CO399" i="8" s="1"/>
  <c r="CN400" i="8"/>
  <c r="CN399" i="8" s="1"/>
  <c r="CM400" i="8"/>
  <c r="CM399" i="8" s="1"/>
  <c r="CL400" i="8"/>
  <c r="CL425" i="8" s="1"/>
  <c r="CK400" i="8"/>
  <c r="CK425" i="8" s="1"/>
  <c r="CJ400" i="8"/>
  <c r="CJ425" i="8" s="1"/>
  <c r="CI400" i="8"/>
  <c r="CI425" i="8" s="1"/>
  <c r="CH400" i="8"/>
  <c r="CH425" i="8" s="1"/>
  <c r="CG400" i="8"/>
  <c r="CG425" i="8" s="1"/>
  <c r="CF400" i="8"/>
  <c r="CF425" i="8" s="1"/>
  <c r="CE400" i="8"/>
  <c r="CE425" i="8" s="1"/>
  <c r="CD400" i="8"/>
  <c r="CD425" i="8" s="1"/>
  <c r="CC400" i="8"/>
  <c r="CC425" i="8" s="1"/>
  <c r="CB400" i="8"/>
  <c r="CB425" i="8" s="1"/>
  <c r="CA400" i="8"/>
  <c r="CA425" i="8" s="1"/>
  <c r="BZ400" i="8"/>
  <c r="BZ425" i="8" s="1"/>
  <c r="BY400" i="8"/>
  <c r="BY425" i="8" s="1"/>
  <c r="BX400" i="8"/>
  <c r="BX425" i="8" s="1"/>
  <c r="BW400" i="8"/>
  <c r="BW425" i="8" s="1"/>
  <c r="BV400" i="8"/>
  <c r="BV425" i="8" s="1"/>
  <c r="BU400" i="8"/>
  <c r="BU425" i="8" s="1"/>
  <c r="BT400" i="8"/>
  <c r="BT425" i="8" s="1"/>
  <c r="BS400" i="8"/>
  <c r="BS425" i="8" s="1"/>
  <c r="BR400" i="8"/>
  <c r="BR425" i="8" s="1"/>
  <c r="BQ400" i="8"/>
  <c r="BQ425" i="8" s="1"/>
  <c r="BP400" i="8"/>
  <c r="BP425" i="8" s="1"/>
  <c r="BO400" i="8"/>
  <c r="BO425" i="8" s="1"/>
  <c r="BN400" i="8"/>
  <c r="BN425" i="8" s="1"/>
  <c r="BM400" i="8"/>
  <c r="BM425" i="8" s="1"/>
  <c r="BL400" i="8"/>
  <c r="BL425" i="8" s="1"/>
  <c r="BK400" i="8"/>
  <c r="BK425" i="8" s="1"/>
  <c r="BJ400" i="8"/>
  <c r="BJ425" i="8" s="1"/>
  <c r="BI400" i="8"/>
  <c r="BI425" i="8" s="1"/>
  <c r="BH400" i="8"/>
  <c r="BH425" i="8" s="1"/>
  <c r="BG400" i="8"/>
  <c r="BG425" i="8" s="1"/>
  <c r="BF400" i="8"/>
  <c r="BF425" i="8" s="1"/>
  <c r="BE400" i="8"/>
  <c r="BE425" i="8" s="1"/>
  <c r="BD400" i="8"/>
  <c r="BD425" i="8" s="1"/>
  <c r="BC400" i="8"/>
  <c r="BC425" i="8" s="1"/>
  <c r="BB400" i="8"/>
  <c r="BB425" i="8" s="1"/>
  <c r="BA400" i="8"/>
  <c r="BA425" i="8" s="1"/>
  <c r="AZ400" i="8"/>
  <c r="AZ425" i="8" s="1"/>
  <c r="AY400" i="8"/>
  <c r="AY425" i="8" s="1"/>
  <c r="AX400" i="8"/>
  <c r="AX425" i="8" s="1"/>
  <c r="AW400" i="8"/>
  <c r="AW425" i="8" s="1"/>
  <c r="AV400" i="8"/>
  <c r="AV425" i="8" s="1"/>
  <c r="AU400" i="8"/>
  <c r="AU425" i="8" s="1"/>
  <c r="AT400" i="8"/>
  <c r="AT425" i="8" s="1"/>
  <c r="AS400" i="8"/>
  <c r="AS425" i="8" s="1"/>
  <c r="AR400" i="8"/>
  <c r="AR425" i="8" s="1"/>
  <c r="AQ400" i="8"/>
  <c r="AQ425" i="8" s="1"/>
  <c r="AP400" i="8"/>
  <c r="AP425" i="8" s="1"/>
  <c r="AO400" i="8"/>
  <c r="AO425" i="8" s="1"/>
  <c r="AN400" i="8"/>
  <c r="AN425" i="8" s="1"/>
  <c r="AM400" i="8"/>
  <c r="AM425" i="8" s="1"/>
  <c r="AL400" i="8"/>
  <c r="AL425" i="8" s="1"/>
  <c r="AK400" i="8"/>
  <c r="AK425" i="8" s="1"/>
  <c r="AJ400" i="8"/>
  <c r="AJ425" i="8" s="1"/>
  <c r="AI400" i="8"/>
  <c r="AI425" i="8" s="1"/>
  <c r="AH400" i="8"/>
  <c r="AH425" i="8" s="1"/>
  <c r="AG400" i="8"/>
  <c r="AG425" i="8" s="1"/>
  <c r="AF400" i="8"/>
  <c r="AF425" i="8" s="1"/>
  <c r="AE400" i="8"/>
  <c r="AE425" i="8" s="1"/>
  <c r="AD400" i="8"/>
  <c r="AD425" i="8" s="1"/>
  <c r="AC400" i="8"/>
  <c r="AC425" i="8" s="1"/>
  <c r="AB400" i="8"/>
  <c r="AB425" i="8" s="1"/>
  <c r="AA400" i="8"/>
  <c r="AA425" i="8" s="1"/>
  <c r="Z400" i="8"/>
  <c r="Z425" i="8" s="1"/>
  <c r="Y400" i="8"/>
  <c r="Y425" i="8" s="1"/>
  <c r="X400" i="8"/>
  <c r="X425" i="8" s="1"/>
  <c r="W400" i="8"/>
  <c r="W425" i="8" s="1"/>
  <c r="V400" i="8"/>
  <c r="V425" i="8" s="1"/>
  <c r="U400" i="8"/>
  <c r="U425" i="8" s="1"/>
  <c r="T400" i="8"/>
  <c r="T425" i="8" s="1"/>
  <c r="S400" i="8"/>
  <c r="S425" i="8" s="1"/>
  <c r="R400" i="8"/>
  <c r="R425" i="8" s="1"/>
  <c r="Q400" i="8"/>
  <c r="Q425" i="8" s="1"/>
  <c r="P400" i="8"/>
  <c r="P425" i="8" s="1"/>
  <c r="O400" i="8"/>
  <c r="O425" i="8" s="1"/>
  <c r="N400" i="8"/>
  <c r="N425" i="8" s="1"/>
  <c r="M400" i="8"/>
  <c r="M425" i="8" s="1"/>
  <c r="L400" i="8"/>
  <c r="L425" i="8" s="1"/>
  <c r="K400" i="8"/>
  <c r="K425" i="8" s="1"/>
  <c r="J400" i="8"/>
  <c r="J425" i="8" s="1"/>
  <c r="I400" i="8"/>
  <c r="I425" i="8" s="1"/>
  <c r="H400" i="8"/>
  <c r="H425" i="8" s="1"/>
  <c r="G400" i="8"/>
  <c r="G425" i="8" s="1"/>
  <c r="DV399" i="8"/>
  <c r="DU399" i="8"/>
  <c r="DT399" i="8"/>
  <c r="DS399" i="8"/>
  <c r="DR399" i="8"/>
  <c r="DQ399" i="8"/>
  <c r="DP399" i="8"/>
  <c r="DO399" i="8"/>
  <c r="DN399" i="8"/>
  <c r="DM399" i="8"/>
  <c r="DL399" i="8"/>
  <c r="DK399" i="8"/>
  <c r="DJ399" i="8"/>
  <c r="DI399" i="8"/>
  <c r="DH399" i="8"/>
  <c r="DG399" i="8"/>
  <c r="DF399" i="8"/>
  <c r="DE399" i="8"/>
  <c r="DD399" i="8"/>
  <c r="DC399" i="8"/>
  <c r="CY399" i="8"/>
  <c r="CQ399" i="8"/>
  <c r="CL399" i="8"/>
  <c r="CI399" i="8"/>
  <c r="CD399" i="8"/>
  <c r="CA399" i="8"/>
  <c r="BS399" i="8"/>
  <c r="BO399" i="8"/>
  <c r="BK399" i="8"/>
  <c r="BC399" i="8"/>
  <c r="AU399" i="8"/>
  <c r="AM399" i="8"/>
  <c r="AE399" i="8"/>
  <c r="W399" i="8"/>
  <c r="R399" i="8"/>
  <c r="O399" i="8"/>
  <c r="G399" i="8"/>
  <c r="DU384" i="8"/>
  <c r="DU406" i="8" s="1"/>
  <c r="DT384" i="8"/>
  <c r="DT406" i="8" s="1"/>
  <c r="DS384" i="8"/>
  <c r="DS406" i="8" s="1"/>
  <c r="DR384" i="8"/>
  <c r="DR406" i="8" s="1"/>
  <c r="CM384" i="8"/>
  <c r="CM406" i="8" s="1"/>
  <c r="CL384" i="8"/>
  <c r="CL406" i="8" s="1"/>
  <c r="CK384" i="8"/>
  <c r="CK406" i="8" s="1"/>
  <c r="CJ384" i="8"/>
  <c r="CJ406" i="8" s="1"/>
  <c r="CI384" i="8"/>
  <c r="CI406" i="8" s="1"/>
  <c r="CH384" i="8"/>
  <c r="CH406" i="8" s="1"/>
  <c r="CF384" i="8"/>
  <c r="CF406" i="8" s="1"/>
  <c r="CE384" i="8"/>
  <c r="CE406" i="8" s="1"/>
  <c r="CD384" i="8"/>
  <c r="CD406" i="8" s="1"/>
  <c r="CC384" i="8"/>
  <c r="CC406" i="8" s="1"/>
  <c r="CB384" i="8"/>
  <c r="CB406" i="8" s="1"/>
  <c r="BX384" i="8"/>
  <c r="BX406" i="8" s="1"/>
  <c r="BW384" i="8"/>
  <c r="BW406" i="8" s="1"/>
  <c r="BV384" i="8"/>
  <c r="BV406" i="8" s="1"/>
  <c r="BU384" i="8"/>
  <c r="BU406" i="8" s="1"/>
  <c r="BT384" i="8"/>
  <c r="BT406" i="8" s="1"/>
  <c r="BS384" i="8"/>
  <c r="BS406" i="8" s="1"/>
  <c r="BR384" i="8"/>
  <c r="BR406" i="8" s="1"/>
  <c r="BQ384" i="8"/>
  <c r="BQ406" i="8" s="1"/>
  <c r="BP384" i="8"/>
  <c r="BP406" i="8" s="1"/>
  <c r="BO384" i="8"/>
  <c r="BO406" i="8" s="1"/>
  <c r="BM384" i="8"/>
  <c r="BM406" i="8" s="1"/>
  <c r="BL384" i="8"/>
  <c r="BL406" i="8" s="1"/>
  <c r="BK384" i="8"/>
  <c r="BK406" i="8" s="1"/>
  <c r="BJ384" i="8"/>
  <c r="BJ406" i="8" s="1"/>
  <c r="BI384" i="8"/>
  <c r="BI406" i="8" s="1"/>
  <c r="BH384" i="8"/>
  <c r="BH406" i="8" s="1"/>
  <c r="BG384" i="8"/>
  <c r="BG406" i="8" s="1"/>
  <c r="BF384" i="8"/>
  <c r="BF406" i="8" s="1"/>
  <c r="BE384" i="8"/>
  <c r="BE406" i="8" s="1"/>
  <c r="BD384" i="8"/>
  <c r="BD406" i="8" s="1"/>
  <c r="BC384" i="8"/>
  <c r="BC406" i="8" s="1"/>
  <c r="BB384" i="8"/>
  <c r="BB406" i="8" s="1"/>
  <c r="BA384" i="8"/>
  <c r="BA406" i="8" s="1"/>
  <c r="AZ384" i="8"/>
  <c r="AZ406" i="8" s="1"/>
  <c r="AY384" i="8"/>
  <c r="AY406" i="8" s="1"/>
  <c r="AX384" i="8"/>
  <c r="AX406" i="8" s="1"/>
  <c r="AW384" i="8"/>
  <c r="AW406" i="8" s="1"/>
  <c r="AV384" i="8"/>
  <c r="AV406" i="8" s="1"/>
  <c r="AU384" i="8"/>
  <c r="AU406" i="8" s="1"/>
  <c r="AT384" i="8"/>
  <c r="AT406" i="8" s="1"/>
  <c r="AS384" i="8"/>
  <c r="AS406" i="8" s="1"/>
  <c r="AR384" i="8"/>
  <c r="AR406" i="8" s="1"/>
  <c r="AQ384" i="8"/>
  <c r="AQ406" i="8" s="1"/>
  <c r="AP384" i="8"/>
  <c r="AP406" i="8" s="1"/>
  <c r="AO384" i="8"/>
  <c r="AO406" i="8" s="1"/>
  <c r="AN384" i="8"/>
  <c r="AN406" i="8" s="1"/>
  <c r="AM384" i="8"/>
  <c r="AM406" i="8" s="1"/>
  <c r="AL384" i="8"/>
  <c r="AL406" i="8" s="1"/>
  <c r="AK384" i="8"/>
  <c r="AK406" i="8" s="1"/>
  <c r="AJ384" i="8"/>
  <c r="AJ406" i="8" s="1"/>
  <c r="AI384" i="8"/>
  <c r="AI406" i="8" s="1"/>
  <c r="AH384" i="8"/>
  <c r="AH406" i="8" s="1"/>
  <c r="AG384" i="8"/>
  <c r="AG406" i="8" s="1"/>
  <c r="AF384" i="8"/>
  <c r="AF406" i="8" s="1"/>
  <c r="AE384" i="8"/>
  <c r="AE406" i="8" s="1"/>
  <c r="AC384" i="8"/>
  <c r="AC406" i="8" s="1"/>
  <c r="AB384" i="8"/>
  <c r="AB406" i="8" s="1"/>
  <c r="AA384" i="8"/>
  <c r="AA406" i="8" s="1"/>
  <c r="Z384" i="8"/>
  <c r="Z406" i="8" s="1"/>
  <c r="Y384" i="8"/>
  <c r="Y406" i="8" s="1"/>
  <c r="X384" i="8"/>
  <c r="X406" i="8" s="1"/>
  <c r="W384" i="8"/>
  <c r="W406" i="8" s="1"/>
  <c r="V384" i="8"/>
  <c r="V406" i="8" s="1"/>
  <c r="U384" i="8"/>
  <c r="U406" i="8" s="1"/>
  <c r="T384" i="8"/>
  <c r="T406" i="8" s="1"/>
  <c r="S384" i="8"/>
  <c r="S406" i="8" s="1"/>
  <c r="R384" i="8"/>
  <c r="R406" i="8" s="1"/>
  <c r="Q384" i="8"/>
  <c r="Q406" i="8" s="1"/>
  <c r="P384" i="8"/>
  <c r="P406" i="8" s="1"/>
  <c r="O384" i="8"/>
  <c r="O406" i="8" s="1"/>
  <c r="N384" i="8"/>
  <c r="N406" i="8" s="1"/>
  <c r="M384" i="8"/>
  <c r="M406" i="8" s="1"/>
  <c r="L384" i="8"/>
  <c r="L406" i="8" s="1"/>
  <c r="K384" i="8"/>
  <c r="K406" i="8" s="1"/>
  <c r="J384" i="8"/>
  <c r="J406" i="8" s="1"/>
  <c r="I384" i="8"/>
  <c r="I406" i="8" s="1"/>
  <c r="H384" i="8"/>
  <c r="H406" i="8" s="1"/>
  <c r="G384" i="8"/>
  <c r="DV383" i="8"/>
  <c r="DU383" i="8"/>
  <c r="DT383" i="8"/>
  <c r="DS383" i="8"/>
  <c r="DR383" i="8"/>
  <c r="DQ383" i="8"/>
  <c r="DP383" i="8"/>
  <c r="DO383" i="8"/>
  <c r="DM383" i="8"/>
  <c r="DK383" i="8"/>
  <c r="DJ383" i="8"/>
  <c r="DI383" i="8"/>
  <c r="DH383" i="8"/>
  <c r="DG383" i="8"/>
  <c r="DF383" i="8"/>
  <c r="DD383" i="8"/>
  <c r="DB383" i="8"/>
  <c r="CZ383" i="8"/>
  <c r="CY383" i="8"/>
  <c r="CX383" i="8"/>
  <c r="CW383" i="8"/>
  <c r="CV383" i="8"/>
  <c r="CU383" i="8"/>
  <c r="CT383" i="8"/>
  <c r="CS383" i="8"/>
  <c r="CR383" i="8"/>
  <c r="CQ383" i="8"/>
  <c r="CP383" i="8"/>
  <c r="CO383" i="8"/>
  <c r="CN383" i="8"/>
  <c r="CM383" i="8"/>
  <c r="CL383" i="8"/>
  <c r="CK383" i="8"/>
  <c r="CJ383" i="8"/>
  <c r="CI383" i="8"/>
  <c r="CH383" i="8"/>
  <c r="CG383" i="8"/>
  <c r="CF383" i="8"/>
  <c r="CE383" i="8"/>
  <c r="CD383" i="8"/>
  <c r="CC383" i="8"/>
  <c r="CB383" i="8"/>
  <c r="CA383" i="8"/>
  <c r="BZ383" i="8"/>
  <c r="BY383" i="8"/>
  <c r="BX383" i="8"/>
  <c r="BW383" i="8"/>
  <c r="BV383" i="8"/>
  <c r="BU383" i="8"/>
  <c r="BT383" i="8"/>
  <c r="BS383" i="8"/>
  <c r="BR383" i="8"/>
  <c r="BQ383" i="8"/>
  <c r="BP383" i="8"/>
  <c r="BO383" i="8"/>
  <c r="BN383" i="8"/>
  <c r="BM383" i="8"/>
  <c r="BL383" i="8"/>
  <c r="BK383" i="8"/>
  <c r="BJ383" i="8"/>
  <c r="BI383" i="8"/>
  <c r="BH383" i="8"/>
  <c r="BG383" i="8"/>
  <c r="BF383" i="8"/>
  <c r="BE383" i="8"/>
  <c r="BD383" i="8"/>
  <c r="BC383" i="8"/>
  <c r="BB383" i="8"/>
  <c r="BA383" i="8"/>
  <c r="AZ383" i="8"/>
  <c r="AY383" i="8"/>
  <c r="AX383" i="8"/>
  <c r="AW383" i="8"/>
  <c r="AV383" i="8"/>
  <c r="AU383" i="8"/>
  <c r="AT383" i="8"/>
  <c r="AS383" i="8"/>
  <c r="AR383" i="8"/>
  <c r="AQ383" i="8"/>
  <c r="AP383" i="8"/>
  <c r="AO383" i="8"/>
  <c r="AN383" i="8"/>
  <c r="AM383" i="8"/>
  <c r="AL383" i="8"/>
  <c r="AK383" i="8"/>
  <c r="AJ383" i="8"/>
  <c r="AI383" i="8"/>
  <c r="AH383" i="8"/>
  <c r="AG383" i="8"/>
  <c r="AF383" i="8"/>
  <c r="AE383" i="8"/>
  <c r="AD383" i="8"/>
  <c r="AC383" i="8"/>
  <c r="AB383" i="8"/>
  <c r="AA383" i="8"/>
  <c r="Y383" i="8"/>
  <c r="X383" i="8"/>
  <c r="W383" i="8"/>
  <c r="V383" i="8"/>
  <c r="U383" i="8"/>
  <c r="T383" i="8"/>
  <c r="S383" i="8"/>
  <c r="R383" i="8"/>
  <c r="Q383" i="8"/>
  <c r="P383" i="8"/>
  <c r="O383" i="8"/>
  <c r="N383" i="8"/>
  <c r="M383" i="8"/>
  <c r="L383" i="8"/>
  <c r="K383" i="8"/>
  <c r="J383" i="8"/>
  <c r="I383" i="8"/>
  <c r="H383" i="8"/>
  <c r="G383" i="8"/>
  <c r="CN382" i="8"/>
  <c r="CM382" i="8"/>
  <c r="CJ382" i="8"/>
  <c r="CH382" i="8"/>
  <c r="CG382" i="8"/>
  <c r="CE382" i="8"/>
  <c r="CD382" i="8"/>
  <c r="CC382" i="8"/>
  <c r="CB382" i="8"/>
  <c r="CA382" i="8"/>
  <c r="BZ382" i="8"/>
  <c r="BY382" i="8"/>
  <c r="BX382" i="8"/>
  <c r="BW382" i="8"/>
  <c r="BV382" i="8"/>
  <c r="BU382" i="8"/>
  <c r="BT382" i="8"/>
  <c r="BS382" i="8"/>
  <c r="BR382" i="8"/>
  <c r="BQ382" i="8"/>
  <c r="BP382" i="8"/>
  <c r="BO382" i="8"/>
  <c r="BN382" i="8"/>
  <c r="BM382" i="8"/>
  <c r="BL382" i="8"/>
  <c r="BK382" i="8"/>
  <c r="BJ382" i="8"/>
  <c r="BI382" i="8"/>
  <c r="BH382" i="8"/>
  <c r="BG382" i="8"/>
  <c r="BF382" i="8"/>
  <c r="BE382" i="8"/>
  <c r="BD382" i="8"/>
  <c r="BC382" i="8"/>
  <c r="BB382" i="8"/>
  <c r="BA382" i="8"/>
  <c r="AZ382" i="8"/>
  <c r="AY382" i="8"/>
  <c r="AX382" i="8"/>
  <c r="AW382" i="8"/>
  <c r="AV382" i="8"/>
  <c r="AU382" i="8"/>
  <c r="AT382" i="8"/>
  <c r="AS382" i="8"/>
  <c r="AR382" i="8"/>
  <c r="AQ382" i="8"/>
  <c r="AP382" i="8"/>
  <c r="AO382" i="8"/>
  <c r="AN382" i="8"/>
  <c r="AM382" i="8"/>
  <c r="AL382" i="8"/>
  <c r="AK382" i="8"/>
  <c r="AJ382" i="8"/>
  <c r="AI382" i="8"/>
  <c r="AH382" i="8"/>
  <c r="AG382" i="8"/>
  <c r="AF382" i="8"/>
  <c r="AE382" i="8"/>
  <c r="AD382" i="8"/>
  <c r="AC382" i="8"/>
  <c r="AB382" i="8"/>
  <c r="AA382" i="8"/>
  <c r="Z382" i="8"/>
  <c r="Y382" i="8"/>
  <c r="X382" i="8"/>
  <c r="W382" i="8"/>
  <c r="V382" i="8"/>
  <c r="U382" i="8"/>
  <c r="T382" i="8"/>
  <c r="S382" i="8"/>
  <c r="R382" i="8"/>
  <c r="Q382" i="8"/>
  <c r="P382" i="8"/>
  <c r="O382" i="8"/>
  <c r="N382" i="8"/>
  <c r="M382" i="8"/>
  <c r="L382" i="8"/>
  <c r="K382" i="8"/>
  <c r="J382" i="8"/>
  <c r="I382" i="8"/>
  <c r="H382" i="8"/>
  <c r="G382" i="8"/>
  <c r="EA379" i="8"/>
  <c r="CY384" i="8"/>
  <c r="CY406" i="8" s="1"/>
  <c r="CA384" i="8"/>
  <c r="CA406" i="8" s="1"/>
  <c r="EA376" i="8"/>
  <c r="DW375" i="8"/>
  <c r="DW374" i="8"/>
  <c r="DW373" i="8"/>
  <c r="E373" i="8"/>
  <c r="DW372" i="8"/>
  <c r="DW371" i="8"/>
  <c r="EA370" i="8"/>
  <c r="EB370" i="8" s="1"/>
  <c r="DW370" i="8"/>
  <c r="E370" i="8"/>
  <c r="D370" i="8"/>
  <c r="DW369" i="8"/>
  <c r="DW368" i="8"/>
  <c r="EA367" i="8"/>
  <c r="EB367" i="8" s="1"/>
  <c r="EC367" i="8" s="1"/>
  <c r="EF367" i="8" s="1"/>
  <c r="DW367" i="8"/>
  <c r="E367" i="8"/>
  <c r="DW366" i="8"/>
  <c r="DW365" i="8"/>
  <c r="EA364" i="8"/>
  <c r="EB364" i="8" s="1"/>
  <c r="EC364" i="8" s="1"/>
  <c r="EF364" i="8" s="1"/>
  <c r="DW364" i="8"/>
  <c r="E364" i="8"/>
  <c r="DW363" i="8"/>
  <c r="DW362" i="8"/>
  <c r="DW361" i="8"/>
  <c r="E361" i="8"/>
  <c r="DW360" i="8"/>
  <c r="DW359" i="8"/>
  <c r="DW358" i="8"/>
  <c r="E358" i="8"/>
  <c r="D358" i="8"/>
  <c r="DW357" i="8"/>
  <c r="DW356" i="8"/>
  <c r="EA355" i="8"/>
  <c r="EB355" i="8" s="1"/>
  <c r="EC355" i="8" s="1"/>
  <c r="EF355" i="8" s="1"/>
  <c r="DW355" i="8"/>
  <c r="E355" i="8"/>
  <c r="DW354" i="8"/>
  <c r="DW353" i="8"/>
  <c r="EA352" i="8"/>
  <c r="EB352" i="8" s="1"/>
  <c r="EC352" i="8" s="1"/>
  <c r="EF352" i="8" s="1"/>
  <c r="DW352" i="8"/>
  <c r="E352" i="8"/>
  <c r="DW351" i="8"/>
  <c r="DW350" i="8"/>
  <c r="EA349" i="8"/>
  <c r="DW349" i="8"/>
  <c r="E349" i="8"/>
  <c r="DW348" i="8"/>
  <c r="DW347" i="8"/>
  <c r="EA346" i="8"/>
  <c r="EB346" i="8" s="1"/>
  <c r="DW346" i="8"/>
  <c r="E346" i="8"/>
  <c r="DW345" i="8"/>
  <c r="DW344" i="8"/>
  <c r="EA343" i="8"/>
  <c r="EB343" i="8" s="1"/>
  <c r="EC343" i="8" s="1"/>
  <c r="EF343" i="8" s="1"/>
  <c r="DW343" i="8"/>
  <c r="E343" i="8"/>
  <c r="DW342" i="8"/>
  <c r="DW341" i="8"/>
  <c r="EA340" i="8"/>
  <c r="EB340" i="8" s="1"/>
  <c r="EC340" i="8" s="1"/>
  <c r="EF340" i="8" s="1"/>
  <c r="DW340" i="8"/>
  <c r="E340" i="8"/>
  <c r="DW339" i="8"/>
  <c r="DW338" i="8"/>
  <c r="EA337" i="8"/>
  <c r="DW337" i="8"/>
  <c r="E337" i="8"/>
  <c r="DW336" i="8"/>
  <c r="DW335" i="8"/>
  <c r="DW334" i="8"/>
  <c r="E334" i="8"/>
  <c r="DW333" i="8"/>
  <c r="DW332" i="8"/>
  <c r="DW331" i="8"/>
  <c r="E331" i="8"/>
  <c r="DW330" i="8"/>
  <c r="DW329" i="8"/>
  <c r="DW328" i="8"/>
  <c r="E328" i="8"/>
  <c r="DW206" i="8"/>
  <c r="E205" i="8"/>
  <c r="D205" i="8"/>
  <c r="DW201" i="8"/>
  <c r="DW200" i="8"/>
  <c r="E199" i="8"/>
  <c r="C199" i="8"/>
  <c r="DW198" i="8"/>
  <c r="DW197" i="8"/>
  <c r="E196" i="8"/>
  <c r="C196" i="8"/>
  <c r="DW195" i="8"/>
  <c r="DW194" i="8"/>
  <c r="E193" i="8"/>
  <c r="C193" i="8"/>
  <c r="DW191" i="8"/>
  <c r="E190" i="8"/>
  <c r="C190" i="8"/>
  <c r="DW188" i="8"/>
  <c r="E187" i="8"/>
  <c r="C187" i="8"/>
  <c r="DW326" i="8"/>
  <c r="DW325" i="8"/>
  <c r="EA324" i="8"/>
  <c r="EB324" i="8" s="1"/>
  <c r="EC324" i="8" s="1"/>
  <c r="EF324" i="8" s="1"/>
  <c r="DW324" i="8"/>
  <c r="E324" i="8"/>
  <c r="DW323" i="8"/>
  <c r="DW322" i="8"/>
  <c r="EA321" i="8"/>
  <c r="DW321" i="8"/>
  <c r="E321" i="8"/>
  <c r="DW320" i="8"/>
  <c r="DW319" i="8"/>
  <c r="EA318" i="8"/>
  <c r="EG318" i="8" s="1"/>
  <c r="DW318" i="8"/>
  <c r="E318" i="8"/>
  <c r="DW317" i="8"/>
  <c r="DW316" i="8"/>
  <c r="EA315" i="8"/>
  <c r="ED315" i="8" s="1"/>
  <c r="DW315" i="8"/>
  <c r="E315" i="8"/>
  <c r="DW314" i="8"/>
  <c r="DW313" i="8"/>
  <c r="EA312" i="8"/>
  <c r="EB312" i="8" s="1"/>
  <c r="DW312" i="8"/>
  <c r="E312" i="8"/>
  <c r="DW311" i="8"/>
  <c r="DW310" i="8"/>
  <c r="EA309" i="8"/>
  <c r="EG309" i="8" s="1"/>
  <c r="DW309" i="8"/>
  <c r="E309" i="8"/>
  <c r="DW308" i="8"/>
  <c r="DW307" i="8"/>
  <c r="EA306" i="8"/>
  <c r="EG306" i="8" s="1"/>
  <c r="DW306" i="8"/>
  <c r="E306" i="8"/>
  <c r="DW305" i="8"/>
  <c r="DW304" i="8"/>
  <c r="EA303" i="8"/>
  <c r="ED303" i="8" s="1"/>
  <c r="DW303" i="8"/>
  <c r="DW302" i="8"/>
  <c r="DW301" i="8"/>
  <c r="EA300" i="8"/>
  <c r="ED300" i="8" s="1"/>
  <c r="DW300" i="8"/>
  <c r="DW299" i="8"/>
  <c r="DW298" i="8"/>
  <c r="EA297" i="8"/>
  <c r="ED297" i="8" s="1"/>
  <c r="DW297" i="8"/>
  <c r="DW296" i="8"/>
  <c r="DW295" i="8"/>
  <c r="EA294" i="8"/>
  <c r="ED294" i="8" s="1"/>
  <c r="DW294" i="8"/>
  <c r="E294" i="8"/>
  <c r="DW292" i="8"/>
  <c r="DW291" i="8"/>
  <c r="EA290" i="8"/>
  <c r="DW290" i="8"/>
  <c r="E290" i="8"/>
  <c r="D290" i="8"/>
  <c r="DW289" i="8"/>
  <c r="DW288" i="8"/>
  <c r="DW287" i="8"/>
  <c r="E287" i="8"/>
  <c r="D287" i="8"/>
  <c r="DW286" i="8"/>
  <c r="DW285" i="8"/>
  <c r="EA284" i="8"/>
  <c r="ED284" i="8" s="1"/>
  <c r="DW284" i="8"/>
  <c r="E284" i="8"/>
  <c r="D284" i="8"/>
  <c r="DW283" i="8"/>
  <c r="DW282" i="8"/>
  <c r="EA281" i="8"/>
  <c r="EG281" i="8" s="1"/>
  <c r="DW281" i="8"/>
  <c r="E281" i="8"/>
  <c r="D281" i="8"/>
  <c r="DW280" i="8"/>
  <c r="DW279" i="8"/>
  <c r="DW278" i="8"/>
  <c r="E278" i="8"/>
  <c r="D278" i="8"/>
  <c r="DW277" i="8"/>
  <c r="DW276" i="8"/>
  <c r="DW275" i="8"/>
  <c r="E275" i="8"/>
  <c r="D275" i="8"/>
  <c r="DW274" i="8"/>
  <c r="DW273" i="8"/>
  <c r="EA272" i="8"/>
  <c r="ED272" i="8" s="1"/>
  <c r="DW272" i="8"/>
  <c r="E272" i="8"/>
  <c r="D272" i="8"/>
  <c r="DW271" i="8"/>
  <c r="DW270" i="8"/>
  <c r="EA269" i="8"/>
  <c r="EG269" i="8" s="1"/>
  <c r="DW269" i="8"/>
  <c r="E269" i="8"/>
  <c r="D269" i="8"/>
  <c r="DW268" i="8"/>
  <c r="DW267" i="8"/>
  <c r="EA266" i="8"/>
  <c r="DW266" i="8"/>
  <c r="E266" i="8"/>
  <c r="D266" i="8"/>
  <c r="DW265" i="8"/>
  <c r="DW264" i="8"/>
  <c r="DW263" i="8"/>
  <c r="E263" i="8"/>
  <c r="D263" i="8"/>
  <c r="DW262" i="8"/>
  <c r="DW261" i="8"/>
  <c r="DW260" i="8"/>
  <c r="E260" i="8"/>
  <c r="D260" i="8"/>
  <c r="DW259" i="8"/>
  <c r="DW258" i="8"/>
  <c r="DW257" i="8"/>
  <c r="E257" i="8"/>
  <c r="D257" i="8"/>
  <c r="DW256" i="8"/>
  <c r="DW255" i="8"/>
  <c r="EA254" i="8"/>
  <c r="DW254" i="8"/>
  <c r="E254" i="8"/>
  <c r="D254" i="8"/>
  <c r="DW253" i="8"/>
  <c r="DW252" i="8"/>
  <c r="EA251" i="8"/>
  <c r="ED251" i="8" s="1"/>
  <c r="DW251" i="8"/>
  <c r="E251" i="8"/>
  <c r="DW250" i="8"/>
  <c r="DW249" i="8"/>
  <c r="EA248" i="8"/>
  <c r="ED248" i="8" s="1"/>
  <c r="DW248" i="8"/>
  <c r="E248" i="8"/>
  <c r="D248" i="8"/>
  <c r="DW247" i="8"/>
  <c r="DW246" i="8"/>
  <c r="DW245" i="8"/>
  <c r="E245" i="8"/>
  <c r="D245" i="8"/>
  <c r="DW203" i="8"/>
  <c r="EB202" i="8"/>
  <c r="EA202" i="8"/>
  <c r="EG202" i="8" s="1"/>
  <c r="E202" i="8"/>
  <c r="D202" i="8"/>
  <c r="DW186" i="8"/>
  <c r="DW185" i="8"/>
  <c r="EA184" i="8"/>
  <c r="ED184" i="8" s="1"/>
  <c r="E184" i="8"/>
  <c r="EA181" i="8"/>
  <c r="ED181" i="8" s="1"/>
  <c r="E181" i="8"/>
  <c r="DW179" i="8"/>
  <c r="EA178" i="8"/>
  <c r="EG178" i="8" s="1"/>
  <c r="E178" i="8"/>
  <c r="DW177" i="8"/>
  <c r="DW176" i="8"/>
  <c r="EA175" i="8"/>
  <c r="E175" i="8"/>
  <c r="DW173" i="8"/>
  <c r="EA172" i="8"/>
  <c r="ED172" i="8" s="1"/>
  <c r="E172" i="8"/>
  <c r="D172" i="8"/>
  <c r="DW243" i="8"/>
  <c r="DW242" i="8"/>
  <c r="EB241" i="8"/>
  <c r="EE241" i="8" s="1"/>
  <c r="EA241" i="8"/>
  <c r="EG241" i="8" s="1"/>
  <c r="DW241" i="8"/>
  <c r="E241" i="8"/>
  <c r="DW240" i="8"/>
  <c r="DW239" i="8"/>
  <c r="EB238" i="8"/>
  <c r="EE238" i="8" s="1"/>
  <c r="EA238" i="8"/>
  <c r="ED238" i="8" s="1"/>
  <c r="DW238" i="8"/>
  <c r="E238" i="8"/>
  <c r="D238" i="8"/>
  <c r="DW237" i="8"/>
  <c r="DW236" i="8"/>
  <c r="EB235" i="8"/>
  <c r="EA235" i="8"/>
  <c r="EG235" i="8" s="1"/>
  <c r="DW235" i="8"/>
  <c r="E235" i="8"/>
  <c r="D235" i="8"/>
  <c r="DW234" i="8"/>
  <c r="DW233" i="8"/>
  <c r="EB232" i="8"/>
  <c r="EA232" i="8"/>
  <c r="ED232" i="8" s="1"/>
  <c r="DW232" i="8"/>
  <c r="E232" i="8"/>
  <c r="D232" i="8"/>
  <c r="DW231" i="8"/>
  <c r="DW230" i="8"/>
  <c r="EB229" i="8"/>
  <c r="EE229" i="8" s="1"/>
  <c r="EA229" i="8"/>
  <c r="EG229" i="8" s="1"/>
  <c r="DW229" i="8"/>
  <c r="E229" i="8"/>
  <c r="D229" i="8"/>
  <c r="DW228" i="8"/>
  <c r="DW227" i="8"/>
  <c r="EB226" i="8"/>
  <c r="EE226" i="8" s="1"/>
  <c r="EA226" i="8"/>
  <c r="ED226" i="8" s="1"/>
  <c r="DW226" i="8"/>
  <c r="E226" i="8"/>
  <c r="D226" i="8"/>
  <c r="DW225" i="8"/>
  <c r="DW224" i="8"/>
  <c r="EB223" i="8"/>
  <c r="EA223" i="8"/>
  <c r="EG223" i="8" s="1"/>
  <c r="DW223" i="8"/>
  <c r="E223" i="8"/>
  <c r="D223" i="8"/>
  <c r="DW222" i="8"/>
  <c r="DW221" i="8"/>
  <c r="EB220" i="8"/>
  <c r="EA220" i="8"/>
  <c r="ED220" i="8" s="1"/>
  <c r="DW220" i="8"/>
  <c r="E220" i="8"/>
  <c r="D220" i="8"/>
  <c r="DW218" i="8"/>
  <c r="E217" i="8"/>
  <c r="DW215" i="8"/>
  <c r="EB214" i="8"/>
  <c r="EA214" i="8"/>
  <c r="EG214" i="8" s="1"/>
  <c r="E214" i="8"/>
  <c r="D214" i="8"/>
  <c r="DW171" i="8"/>
  <c r="DW170" i="8"/>
  <c r="E169" i="8"/>
  <c r="D169" i="8"/>
  <c r="DT169" i="8" s="1"/>
  <c r="DW213" i="8"/>
  <c r="DW212" i="8"/>
  <c r="E211" i="8"/>
  <c r="DW210" i="8"/>
  <c r="DW209" i="8"/>
  <c r="E208" i="8"/>
  <c r="E166" i="8"/>
  <c r="D166" i="8"/>
  <c r="DM166" i="8" s="1"/>
  <c r="DW166" i="8" s="1"/>
  <c r="DW152" i="8"/>
  <c r="E151" i="8"/>
  <c r="D151" i="8"/>
  <c r="DW149" i="8"/>
  <c r="EB148" i="8"/>
  <c r="EC148" i="8" s="1"/>
  <c r="EF148" i="8" s="1"/>
  <c r="EA148" i="8"/>
  <c r="ED148" i="8" s="1"/>
  <c r="E148" i="8"/>
  <c r="D148" i="8"/>
  <c r="DF148" i="8" s="1"/>
  <c r="DW158" i="8"/>
  <c r="E157" i="8"/>
  <c r="C157" i="8"/>
  <c r="DW155" i="8"/>
  <c r="EA154" i="8"/>
  <c r="E154" i="8"/>
  <c r="D154" i="8"/>
  <c r="DW143" i="8"/>
  <c r="EA142" i="8"/>
  <c r="E142" i="8"/>
  <c r="D142" i="8"/>
  <c r="DW140" i="8"/>
  <c r="E139" i="8"/>
  <c r="C139" i="8"/>
  <c r="DW137" i="8"/>
  <c r="EA136" i="8"/>
  <c r="ED136" i="8" s="1"/>
  <c r="E136" i="8"/>
  <c r="D136" i="8"/>
  <c r="DW134" i="8"/>
  <c r="E133" i="8"/>
  <c r="DW132" i="8"/>
  <c r="DW131" i="8"/>
  <c r="EA130" i="8"/>
  <c r="E130" i="8"/>
  <c r="D130" i="8"/>
  <c r="DW129" i="8"/>
  <c r="DW128" i="8"/>
  <c r="EA127" i="8"/>
  <c r="EB127" i="8" s="1"/>
  <c r="E127" i="8"/>
  <c r="DW126" i="8"/>
  <c r="DW125" i="8"/>
  <c r="EA124" i="8"/>
  <c r="EG124" i="8" s="1"/>
  <c r="E124" i="8"/>
  <c r="D124" i="8"/>
  <c r="DW123" i="8"/>
  <c r="CN384" i="8"/>
  <c r="CN406" i="8" s="1"/>
  <c r="DW122" i="8"/>
  <c r="CL382" i="8"/>
  <c r="CK382" i="8"/>
  <c r="CI382" i="8"/>
  <c r="E121" i="8"/>
  <c r="DW120" i="8"/>
  <c r="DW119" i="8"/>
  <c r="EA118" i="8"/>
  <c r="EG118" i="8" s="1"/>
  <c r="DW118" i="8"/>
  <c r="E118" i="8"/>
  <c r="D118" i="8"/>
  <c r="DW116" i="8"/>
  <c r="E115" i="8"/>
  <c r="C115" i="8"/>
  <c r="DW114" i="8"/>
  <c r="DW113" i="8"/>
  <c r="EA112" i="8"/>
  <c r="ED112" i="8" s="1"/>
  <c r="DW112" i="8"/>
  <c r="E112" i="8"/>
  <c r="D112" i="8"/>
  <c r="DW111" i="8"/>
  <c r="DW110" i="8"/>
  <c r="EA109" i="8"/>
  <c r="EB109" i="8" s="1"/>
  <c r="EC109" i="8" s="1"/>
  <c r="EF109" i="8" s="1"/>
  <c r="DW109" i="8"/>
  <c r="E109" i="8"/>
  <c r="DW108" i="8"/>
  <c r="DW107" i="8"/>
  <c r="EA106" i="8"/>
  <c r="EG106" i="8" s="1"/>
  <c r="DW106" i="8"/>
  <c r="E106" i="8"/>
  <c r="DW105" i="8"/>
  <c r="DW104" i="8"/>
  <c r="DW103" i="8"/>
  <c r="E103" i="8"/>
  <c r="DW102" i="8"/>
  <c r="DW101" i="8"/>
  <c r="EA100" i="8"/>
  <c r="DW100" i="8"/>
  <c r="E100" i="8"/>
  <c r="DW99" i="8"/>
  <c r="DW98" i="8"/>
  <c r="EB97" i="8"/>
  <c r="EA97" i="8"/>
  <c r="EG97" i="8" s="1"/>
  <c r="DW97" i="8"/>
  <c r="ES97" i="8" s="1"/>
  <c r="ET97" i="8" s="1"/>
  <c r="E97" i="8"/>
  <c r="DW96" i="8"/>
  <c r="DW95" i="8"/>
  <c r="EA94" i="8"/>
  <c r="ED94" i="8" s="1"/>
  <c r="CF382" i="8"/>
  <c r="E94" i="8"/>
  <c r="D94" i="8"/>
  <c r="DW93" i="8"/>
  <c r="DW92" i="8"/>
  <c r="EA91" i="8"/>
  <c r="ED91" i="8" s="1"/>
  <c r="DW91" i="8"/>
  <c r="E91" i="8"/>
  <c r="D91" i="8"/>
  <c r="DW90" i="8"/>
  <c r="DW89" i="8"/>
  <c r="EA88" i="8"/>
  <c r="DW88" i="8"/>
  <c r="E88" i="8"/>
  <c r="D88" i="8"/>
  <c r="DW87" i="8"/>
  <c r="DW86" i="8"/>
  <c r="EA85" i="8"/>
  <c r="ED85" i="8" s="1"/>
  <c r="DW85" i="8"/>
  <c r="E85" i="8"/>
  <c r="D85" i="8"/>
  <c r="DW84" i="8"/>
  <c r="DW83" i="8"/>
  <c r="EA82" i="8"/>
  <c r="ED82" i="8" s="1"/>
  <c r="DW82" i="8"/>
  <c r="E82" i="8"/>
  <c r="DW81" i="8"/>
  <c r="DW80" i="8"/>
  <c r="EA79" i="8"/>
  <c r="DW79" i="8"/>
  <c r="E79" i="8"/>
  <c r="DW78" i="8"/>
  <c r="DW77" i="8"/>
  <c r="DW76" i="8"/>
  <c r="E76" i="8"/>
  <c r="DW75" i="8"/>
  <c r="DW74" i="8"/>
  <c r="EA73" i="8"/>
  <c r="ED73" i="8" s="1"/>
  <c r="DW73" i="8"/>
  <c r="E73" i="8"/>
  <c r="D73" i="8"/>
  <c r="DW72" i="8"/>
  <c r="DW71" i="8"/>
  <c r="EA70" i="8"/>
  <c r="EG70" i="8" s="1"/>
  <c r="DW70" i="8"/>
  <c r="E70" i="8"/>
  <c r="D70" i="8"/>
  <c r="DW69" i="8"/>
  <c r="DW68" i="8"/>
  <c r="EA67" i="8"/>
  <c r="ED67" i="8" s="1"/>
  <c r="DW67" i="8"/>
  <c r="E67" i="8"/>
  <c r="D67" i="8"/>
  <c r="DW66" i="8"/>
  <c r="DW65" i="8"/>
  <c r="DW64" i="8"/>
  <c r="E64" i="8"/>
  <c r="D64" i="8"/>
  <c r="EG63" i="8"/>
  <c r="DW63" i="8"/>
  <c r="EG62" i="8"/>
  <c r="DW62" i="8"/>
  <c r="EA61" i="8"/>
  <c r="EG61" i="8" s="1"/>
  <c r="DW61" i="8"/>
  <c r="E61" i="8"/>
  <c r="D61" i="8"/>
  <c r="DW60" i="8"/>
  <c r="DW59" i="8"/>
  <c r="EB58" i="8"/>
  <c r="EE58" i="8" s="1"/>
  <c r="EA58" i="8"/>
  <c r="ED58" i="8" s="1"/>
  <c r="DW58" i="8"/>
  <c r="D58" i="8"/>
  <c r="DW57" i="8"/>
  <c r="DW56" i="8"/>
  <c r="EB55" i="8"/>
  <c r="EE55" i="8" s="1"/>
  <c r="EA55" i="8"/>
  <c r="ED55" i="8" s="1"/>
  <c r="DW55" i="8"/>
  <c r="D55" i="8"/>
  <c r="DW54" i="8"/>
  <c r="DW53" i="8"/>
  <c r="EB52" i="8"/>
  <c r="EA52" i="8"/>
  <c r="EG52" i="8" s="1"/>
  <c r="DW52" i="8"/>
  <c r="D52" i="8"/>
  <c r="DW51" i="8"/>
  <c r="DW50" i="8"/>
  <c r="EB49" i="8"/>
  <c r="EC49" i="8" s="1"/>
  <c r="EF49" i="8" s="1"/>
  <c r="EA49" i="8"/>
  <c r="DW49" i="8"/>
  <c r="D49" i="8"/>
  <c r="DW48" i="8"/>
  <c r="DW47" i="8"/>
  <c r="EB46" i="8"/>
  <c r="EA46" i="8"/>
  <c r="ED46" i="8" s="1"/>
  <c r="DW46" i="8"/>
  <c r="D46" i="8"/>
  <c r="DW45" i="8"/>
  <c r="DW44" i="8"/>
  <c r="EB43" i="8"/>
  <c r="EE43" i="8" s="1"/>
  <c r="EA43" i="8"/>
  <c r="ED43" i="8" s="1"/>
  <c r="DW43" i="8"/>
  <c r="D43" i="8"/>
  <c r="DW42" i="8"/>
  <c r="DW41" i="8"/>
  <c r="EB40" i="8"/>
  <c r="EE40" i="8" s="1"/>
  <c r="EA40" i="8"/>
  <c r="EG40" i="8" s="1"/>
  <c r="DW40" i="8"/>
  <c r="D40" i="8"/>
  <c r="DW39" i="8"/>
  <c r="DW38" i="8"/>
  <c r="EB37" i="8"/>
  <c r="EC37" i="8" s="1"/>
  <c r="EF37" i="8" s="1"/>
  <c r="EA37" i="8"/>
  <c r="DW37" i="8"/>
  <c r="D37" i="8"/>
  <c r="DW36" i="8"/>
  <c r="DW35" i="8"/>
  <c r="EB34" i="8"/>
  <c r="EE34" i="8" s="1"/>
  <c r="EA34" i="8"/>
  <c r="DW34" i="8"/>
  <c r="D34" i="8"/>
  <c r="DW33" i="8"/>
  <c r="DW32" i="8"/>
  <c r="EB31" i="8"/>
  <c r="EA31" i="8"/>
  <c r="EG31" i="8" s="1"/>
  <c r="DW31" i="8"/>
  <c r="D31" i="8"/>
  <c r="DW30" i="8"/>
  <c r="DW29" i="8"/>
  <c r="EB28" i="8"/>
  <c r="EC28" i="8" s="1"/>
  <c r="EF28" i="8" s="1"/>
  <c r="EA28" i="8"/>
  <c r="EG28" i="8" s="1"/>
  <c r="DW28" i="8"/>
  <c r="D28" i="8"/>
  <c r="DW27" i="8"/>
  <c r="DW26" i="8"/>
  <c r="EB25" i="8"/>
  <c r="EC25" i="8" s="1"/>
  <c r="EF25" i="8" s="1"/>
  <c r="EA25" i="8"/>
  <c r="DW25" i="8"/>
  <c r="D25" i="8"/>
  <c r="DW24" i="8"/>
  <c r="DW23" i="8"/>
  <c r="EB22" i="8"/>
  <c r="EE22" i="8" s="1"/>
  <c r="EA22" i="8"/>
  <c r="ED22" i="8" s="1"/>
  <c r="DW22" i="8"/>
  <c r="D22" i="8"/>
  <c r="DW21" i="8"/>
  <c r="DW20" i="8"/>
  <c r="EB19" i="8"/>
  <c r="EE19" i="8" s="1"/>
  <c r="EA19" i="8"/>
  <c r="ED19" i="8" s="1"/>
  <c r="DW19" i="8"/>
  <c r="D19" i="8"/>
  <c r="AD384" i="8"/>
  <c r="AD406" i="8" s="1"/>
  <c r="EB16" i="8"/>
  <c r="EE16" i="8" s="1"/>
  <c r="EA16" i="8"/>
  <c r="ED16" i="8" s="1"/>
  <c r="D16" i="8"/>
  <c r="DJ14" i="8"/>
  <c r="DI14" i="8"/>
  <c r="DH14" i="8"/>
  <c r="DG14" i="8"/>
  <c r="DF14" i="8"/>
  <c r="DE14" i="8"/>
  <c r="DD14" i="8"/>
  <c r="DC14" i="8"/>
  <c r="DB14" i="8"/>
  <c r="DA14" i="8"/>
  <c r="CZ14" i="8"/>
  <c r="CY14" i="8"/>
  <c r="CX14" i="8"/>
  <c r="CW14" i="8"/>
  <c r="CV14" i="8"/>
  <c r="CU14" i="8"/>
  <c r="CT14" i="8"/>
  <c r="CS14" i="8"/>
  <c r="CR14" i="8"/>
  <c r="CQ14" i="8"/>
  <c r="CP14" i="8"/>
  <c r="CO14" i="8"/>
  <c r="CN14" i="8"/>
  <c r="CM14" i="8"/>
  <c r="CL14" i="8"/>
  <c r="CK14" i="8"/>
  <c r="CJ14" i="8"/>
  <c r="CI14" i="8"/>
  <c r="CH14" i="8"/>
  <c r="CG14" i="8"/>
  <c r="CF14" i="8"/>
  <c r="CE14" i="8"/>
  <c r="CD14" i="8"/>
  <c r="CC14" i="8"/>
  <c r="CB14" i="8"/>
  <c r="CA14" i="8"/>
  <c r="BZ14" i="8"/>
  <c r="BY14" i="8"/>
  <c r="BX14" i="8"/>
  <c r="BW14" i="8"/>
  <c r="BV14" i="8"/>
  <c r="BU14" i="8"/>
  <c r="BT14"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BO11" i="8"/>
  <c r="BD11" i="8"/>
  <c r="BC11" i="8"/>
  <c r="BA11" i="8"/>
  <c r="AX11" i="8"/>
  <c r="AQ11" i="8"/>
  <c r="AP11" i="8"/>
  <c r="AO11" i="8"/>
  <c r="AK11" i="8"/>
  <c r="AJ11" i="8"/>
  <c r="AH11" i="8"/>
  <c r="AG11" i="8"/>
  <c r="AF11" i="8"/>
  <c r="AE11" i="8"/>
  <c r="AD11" i="8"/>
  <c r="AC11" i="8"/>
  <c r="AB11" i="8"/>
  <c r="AA11" i="8"/>
  <c r="Z11" i="8"/>
  <c r="Y11" i="8"/>
  <c r="X11" i="8"/>
  <c r="W11" i="8"/>
  <c r="V11" i="8"/>
  <c r="U11" i="8"/>
  <c r="T11" i="8"/>
  <c r="S11" i="8"/>
  <c r="Q11" i="8"/>
  <c r="P11" i="8"/>
  <c r="O11" i="8"/>
  <c r="N11" i="8"/>
  <c r="M11" i="8"/>
  <c r="L11" i="8"/>
  <c r="K11" i="8"/>
  <c r="J11" i="8"/>
  <c r="I11" i="8"/>
  <c r="H11" i="8"/>
  <c r="G402" i="8"/>
  <c r="BG9" i="8"/>
  <c r="BG402" i="8" s="1"/>
  <c r="BE9" i="8"/>
  <c r="BB9" i="8"/>
  <c r="AZ9" i="8"/>
  <c r="AZ402" i="8" s="1"/>
  <c r="AY9" i="8"/>
  <c r="AY402" i="8" s="1"/>
  <c r="AW9" i="8"/>
  <c r="AV9" i="8"/>
  <c r="AV402" i="8" s="1"/>
  <c r="AU9" i="8"/>
  <c r="AT9" i="8"/>
  <c r="AS9" i="8"/>
  <c r="AR9" i="8"/>
  <c r="AR402" i="8" s="1"/>
  <c r="AN9" i="8"/>
  <c r="AN402" i="8" s="1"/>
  <c r="AM9" i="8"/>
  <c r="AM402" i="8" s="1"/>
  <c r="AL9" i="8"/>
  <c r="AL402" i="8" s="1"/>
  <c r="AI9" i="8"/>
  <c r="AI402" i="8" s="1"/>
  <c r="R9" i="8"/>
  <c r="R402" i="8" s="1"/>
  <c r="DR6" i="8"/>
  <c r="DO6" i="8"/>
  <c r="DK6" i="8"/>
  <c r="DK401" i="8" s="1"/>
  <c r="AM7" i="8"/>
  <c r="DV6" i="8"/>
  <c r="DV401" i="8" s="1"/>
  <c r="DU6" i="8"/>
  <c r="DU11" i="8" s="1"/>
  <c r="DT6" i="8"/>
  <c r="DS6" i="8"/>
  <c r="DS11" i="8" s="1"/>
  <c r="DQ6" i="8"/>
  <c r="DQ11" i="8" s="1"/>
  <c r="DP6" i="8"/>
  <c r="DP401" i="8" s="1"/>
  <c r="DP403" i="8" s="1"/>
  <c r="DN6" i="8"/>
  <c r="DN401" i="8" s="1"/>
  <c r="DN403" i="8" s="1"/>
  <c r="DM6" i="8"/>
  <c r="DM11" i="8" s="1"/>
  <c r="DL6" i="8"/>
  <c r="DJ6" i="8"/>
  <c r="DJ401" i="8" s="1"/>
  <c r="DI6" i="8"/>
  <c r="DI11" i="8" s="1"/>
  <c r="DH6" i="8"/>
  <c r="DH401" i="8" s="1"/>
  <c r="DH403" i="8" s="1"/>
  <c r="DG6" i="8"/>
  <c r="DG11" i="8" s="1"/>
  <c r="DF6" i="8"/>
  <c r="DF401" i="8" s="1"/>
  <c r="DE6" i="8"/>
  <c r="DE11" i="8" s="1"/>
  <c r="DD6" i="8"/>
  <c r="DD401" i="8" s="1"/>
  <c r="DD403" i="8" s="1"/>
  <c r="DC6" i="8"/>
  <c r="DC11" i="8" s="1"/>
  <c r="DB6" i="8"/>
  <c r="DB401" i="8" s="1"/>
  <c r="CZ6" i="8"/>
  <c r="CZ401" i="8" s="1"/>
  <c r="CY6" i="8"/>
  <c r="CW6" i="8"/>
  <c r="CW11" i="8" s="1"/>
  <c r="CV6" i="8"/>
  <c r="CV401" i="8" s="1"/>
  <c r="CV403" i="8" s="1"/>
  <c r="CU6" i="8"/>
  <c r="CU11" i="8" s="1"/>
  <c r="CT6" i="8"/>
  <c r="CT401" i="8" s="1"/>
  <c r="CS6" i="8"/>
  <c r="CS11" i="8" s="1"/>
  <c r="CR6" i="8"/>
  <c r="CR401" i="8" s="1"/>
  <c r="CR403" i="8" s="1"/>
  <c r="CQ6" i="8"/>
  <c r="CQ11" i="8" s="1"/>
  <c r="CO6" i="8"/>
  <c r="CO11" i="8" s="1"/>
  <c r="CN6" i="8"/>
  <c r="CN401" i="8" s="1"/>
  <c r="CN403" i="8" s="1"/>
  <c r="CM6" i="8"/>
  <c r="CM401" i="8" s="1"/>
  <c r="CM403" i="8" s="1"/>
  <c r="CL6" i="8"/>
  <c r="CL401" i="8" s="1"/>
  <c r="CK6" i="8"/>
  <c r="CK11" i="8" s="1"/>
  <c r="CJ6" i="8"/>
  <c r="CJ401" i="8" s="1"/>
  <c r="CJ403" i="8" s="1"/>
  <c r="CI6" i="8"/>
  <c r="CI11" i="8" s="1"/>
  <c r="CH6" i="8"/>
  <c r="CH401" i="8" s="1"/>
  <c r="CG6" i="8"/>
  <c r="CG11" i="8" s="1"/>
  <c r="CF6" i="8"/>
  <c r="CF401" i="8" s="1"/>
  <c r="CF403" i="8" s="1"/>
  <c r="CE6" i="8"/>
  <c r="CE11" i="8" s="1"/>
  <c r="CD6" i="8"/>
  <c r="CD401" i="8" s="1"/>
  <c r="CC6" i="8"/>
  <c r="CC11" i="8" s="1"/>
  <c r="CB6" i="8"/>
  <c r="CB401" i="8" s="1"/>
  <c r="CB403" i="8" s="1"/>
  <c r="CA6" i="8"/>
  <c r="CA11" i="8" s="1"/>
  <c r="BZ6" i="8"/>
  <c r="BZ401" i="8" s="1"/>
  <c r="BY6" i="8"/>
  <c r="BY11" i="8" s="1"/>
  <c r="BX6" i="8"/>
  <c r="BX401" i="8" s="1"/>
  <c r="BX403" i="8" s="1"/>
  <c r="BW6" i="8"/>
  <c r="BW11" i="8" s="1"/>
  <c r="BV6" i="8"/>
  <c r="BV401" i="8" s="1"/>
  <c r="BU6" i="8"/>
  <c r="BU11" i="8" s="1"/>
  <c r="BT6" i="8"/>
  <c r="BT401" i="8" s="1"/>
  <c r="BT403" i="8" s="1"/>
  <c r="BS6" i="8"/>
  <c r="BS11" i="8" s="1"/>
  <c r="BR6" i="8"/>
  <c r="BR401" i="8" s="1"/>
  <c r="BQ6" i="8"/>
  <c r="BQ11" i="8" s="1"/>
  <c r="BP6" i="8"/>
  <c r="BP401" i="8" s="1"/>
  <c r="BP403" i="8" s="1"/>
  <c r="BN6" i="8"/>
  <c r="BN401" i="8" s="1"/>
  <c r="BN403" i="8" s="1"/>
  <c r="BM6" i="8"/>
  <c r="BL6" i="8"/>
  <c r="BK6" i="8"/>
  <c r="BJ6" i="8"/>
  <c r="BJ401" i="8" s="1"/>
  <c r="BJ403" i="8" s="1"/>
  <c r="BI6" i="8"/>
  <c r="BH6" i="8"/>
  <c r="BG6" i="8"/>
  <c r="BF6" i="8"/>
  <c r="BF401" i="8" s="1"/>
  <c r="BF403" i="8" s="1"/>
  <c r="AZ6" i="8"/>
  <c r="AZ401" i="8" s="1"/>
  <c r="AM6" i="8"/>
  <c r="BZ4" i="8"/>
  <c r="BY4" i="8"/>
  <c r="BX4" i="8"/>
  <c r="BW4" i="8"/>
  <c r="BV4" i="8"/>
  <c r="BU4" i="8"/>
  <c r="BT4" i="8"/>
  <c r="BS4" i="8"/>
  <c r="BR4" i="8"/>
  <c r="BQ4" i="8"/>
  <c r="BP4" i="8"/>
  <c r="BO4" i="8"/>
  <c r="BN4" i="8"/>
  <c r="BM4" i="8"/>
  <c r="BL4" i="8"/>
  <c r="BK4" i="8"/>
  <c r="BJ4" i="8"/>
  <c r="BI4" i="8"/>
  <c r="BH4" i="8"/>
  <c r="BG4" i="8"/>
  <c r="BF4" i="8"/>
  <c r="BE4" i="8"/>
  <c r="BD4" i="8"/>
  <c r="BC4" i="8"/>
  <c r="BB4" i="8"/>
  <c r="BA4" i="8"/>
  <c r="AZ4" i="8"/>
  <c r="AY4" i="8"/>
  <c r="AX4" i="8"/>
  <c r="AW4" i="8"/>
  <c r="AV4" i="8"/>
  <c r="AU4" i="8"/>
  <c r="AT4" i="8"/>
  <c r="AS4" i="8"/>
  <c r="AR4" i="8"/>
  <c r="AQ4" i="8"/>
  <c r="AP4" i="8"/>
  <c r="AO4" i="8"/>
  <c r="AN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AA399" i="8" l="1"/>
  <c r="S399" i="8"/>
  <c r="AI399" i="8"/>
  <c r="AP399" i="8"/>
  <c r="CE399" i="8"/>
  <c r="Z399" i="8"/>
  <c r="BF399" i="8"/>
  <c r="BN399" i="8"/>
  <c r="J399" i="8"/>
  <c r="AH399" i="8"/>
  <c r="AX399" i="8"/>
  <c r="BV399" i="8"/>
  <c r="BJ399" i="8"/>
  <c r="AQ399" i="8"/>
  <c r="AT399" i="8"/>
  <c r="I399" i="8"/>
  <c r="AW399" i="8"/>
  <c r="S403" i="8"/>
  <c r="Q399" i="8"/>
  <c r="Y399" i="8"/>
  <c r="AG399" i="8"/>
  <c r="AO399" i="8"/>
  <c r="BE399" i="8"/>
  <c r="BM399" i="8"/>
  <c r="BU399" i="8"/>
  <c r="AH385" i="8"/>
  <c r="AL385" i="8"/>
  <c r="AP385" i="8"/>
  <c r="AT385" i="8"/>
  <c r="AX385" i="8"/>
  <c r="BB385" i="8"/>
  <c r="BF385" i="8"/>
  <c r="DM169" i="8"/>
  <c r="DQ169" i="8"/>
  <c r="DO169" i="8"/>
  <c r="DR169" i="8"/>
  <c r="DP169" i="8"/>
  <c r="DS169" i="8"/>
  <c r="DN169" i="8"/>
  <c r="K385" i="8"/>
  <c r="O385" i="8"/>
  <c r="S385" i="8"/>
  <c r="W385" i="8"/>
  <c r="CC399" i="8"/>
  <c r="CK399" i="8"/>
  <c r="V399" i="8"/>
  <c r="BG399" i="8"/>
  <c r="CH399" i="8"/>
  <c r="K399" i="8"/>
  <c r="AL399" i="8"/>
  <c r="BW399" i="8"/>
  <c r="N399" i="8"/>
  <c r="AY399" i="8"/>
  <c r="BZ399" i="8"/>
  <c r="BB399" i="8"/>
  <c r="AD399" i="8"/>
  <c r="BR399" i="8"/>
  <c r="L399" i="8"/>
  <c r="T399" i="8"/>
  <c r="AB399" i="8"/>
  <c r="AJ399" i="8"/>
  <c r="AR399" i="8"/>
  <c r="AZ399" i="8"/>
  <c r="BH399" i="8"/>
  <c r="BP399" i="8"/>
  <c r="BX399" i="8"/>
  <c r="CF399" i="8"/>
  <c r="M399" i="8"/>
  <c r="U399" i="8"/>
  <c r="AC399" i="8"/>
  <c r="AK399" i="8"/>
  <c r="AS399" i="8"/>
  <c r="BA399" i="8"/>
  <c r="BI399" i="8"/>
  <c r="BQ399" i="8"/>
  <c r="BY399" i="8"/>
  <c r="CG399" i="8"/>
  <c r="EP153" i="8"/>
  <c r="H399" i="8"/>
  <c r="P399" i="8"/>
  <c r="X399" i="8"/>
  <c r="AF399" i="8"/>
  <c r="AN399" i="8"/>
  <c r="AV399" i="8"/>
  <c r="BD399" i="8"/>
  <c r="BL399" i="8"/>
  <c r="BT399" i="8"/>
  <c r="CB399" i="8"/>
  <c r="CJ399" i="8"/>
  <c r="DI154" i="8"/>
  <c r="DL154" i="8"/>
  <c r="DK154" i="8"/>
  <c r="DJ154" i="8"/>
  <c r="DH154" i="8"/>
  <c r="DM154" i="8"/>
  <c r="DL401" i="8"/>
  <c r="DL11" i="8"/>
  <c r="AC385" i="8"/>
  <c r="BU385" i="8"/>
  <c r="CC385" i="8"/>
  <c r="EA217" i="8"/>
  <c r="ED217" i="8" s="1"/>
  <c r="EA157" i="8"/>
  <c r="ED157" i="8" s="1"/>
  <c r="EA190" i="8"/>
  <c r="ED190" i="8" s="1"/>
  <c r="EA334" i="8"/>
  <c r="EB334" i="8" s="1"/>
  <c r="EE334" i="8" s="1"/>
  <c r="EB142" i="8"/>
  <c r="EE142" i="8" s="1"/>
  <c r="EA151" i="8"/>
  <c r="EG151" i="8" s="1"/>
  <c r="DW150" i="8"/>
  <c r="DU217" i="8"/>
  <c r="DQ217" i="8"/>
  <c r="DM217" i="8"/>
  <c r="DS217" i="8"/>
  <c r="DO217" i="8"/>
  <c r="DK217" i="8"/>
  <c r="DV217" i="8"/>
  <c r="DR217" i="8"/>
  <c r="DN217" i="8"/>
  <c r="DT217" i="8"/>
  <c r="DP217" i="8"/>
  <c r="DL217" i="8"/>
  <c r="DI180" i="8"/>
  <c r="DG180" i="8"/>
  <c r="DE180" i="8"/>
  <c r="DC180" i="8"/>
  <c r="DJ180" i="8"/>
  <c r="DH180" i="8"/>
  <c r="DF180" i="8"/>
  <c r="DD180" i="8"/>
  <c r="DW156" i="8"/>
  <c r="DX266" i="8"/>
  <c r="DY266" i="8" s="1"/>
  <c r="DZ266" i="8" s="1"/>
  <c r="DX290" i="8"/>
  <c r="DY290" i="8" s="1"/>
  <c r="DZ290" i="8" s="1"/>
  <c r="EI309" i="8"/>
  <c r="AG385" i="8"/>
  <c r="AK385" i="8"/>
  <c r="AO385" i="8"/>
  <c r="AS385" i="8"/>
  <c r="AW385" i="8"/>
  <c r="BA385" i="8"/>
  <c r="BE385" i="8"/>
  <c r="BI385" i="8"/>
  <c r="BM385" i="8"/>
  <c r="BQ385" i="8"/>
  <c r="CK385" i="8"/>
  <c r="D13" i="8"/>
  <c r="DX300" i="8"/>
  <c r="DY300" i="8" s="1"/>
  <c r="DX328" i="8"/>
  <c r="DY328" i="8" s="1"/>
  <c r="DX340" i="8"/>
  <c r="DY340" i="8" s="1"/>
  <c r="AA385" i="8"/>
  <c r="AE385" i="8"/>
  <c r="AI385" i="8"/>
  <c r="AM385" i="8"/>
  <c r="AQ385" i="8"/>
  <c r="AU385" i="8"/>
  <c r="AY385" i="8"/>
  <c r="BC385" i="8"/>
  <c r="BG385" i="8"/>
  <c r="BK385" i="8"/>
  <c r="BO385" i="8"/>
  <c r="BS385" i="8"/>
  <c r="BW385" i="8"/>
  <c r="CE385" i="8"/>
  <c r="D163" i="8"/>
  <c r="DX254" i="8"/>
  <c r="DY254" i="8" s="1"/>
  <c r="DZ254" i="8" s="1"/>
  <c r="J385" i="8"/>
  <c r="N385" i="8"/>
  <c r="R385" i="8"/>
  <c r="V385" i="8"/>
  <c r="AD115" i="3"/>
  <c r="Z115" i="3" s="1"/>
  <c r="X115" i="3" s="1"/>
  <c r="EA163" i="8"/>
  <c r="EC160" i="8"/>
  <c r="EF160" i="8" s="1"/>
  <c r="EE160" i="8"/>
  <c r="DX257" i="8"/>
  <c r="DY257" i="8" s="1"/>
  <c r="DZ257" i="8" s="1"/>
  <c r="DX64" i="8"/>
  <c r="DY64" i="8" s="1"/>
  <c r="EH64" i="8" s="1"/>
  <c r="EI257" i="8"/>
  <c r="EJ257" i="8" s="1"/>
  <c r="BA403" i="8"/>
  <c r="CI385" i="8"/>
  <c r="D181" i="8"/>
  <c r="EA245" i="8"/>
  <c r="EG245" i="8" s="1"/>
  <c r="EB245" i="8"/>
  <c r="EE148" i="8"/>
  <c r="EC16" i="8"/>
  <c r="EF16" i="8" s="1"/>
  <c r="EI22" i="8"/>
  <c r="EJ22" i="8" s="1"/>
  <c r="DX281" i="8"/>
  <c r="DY281" i="8" s="1"/>
  <c r="DZ281" i="8" s="1"/>
  <c r="EI355" i="8"/>
  <c r="DX358" i="8"/>
  <c r="DY358" i="8" s="1"/>
  <c r="DX19" i="8"/>
  <c r="DY19" i="8" s="1"/>
  <c r="DZ19" i="8" s="1"/>
  <c r="DX25" i="8"/>
  <c r="DY25" i="8" s="1"/>
  <c r="EH25" i="8" s="1"/>
  <c r="DX31" i="8"/>
  <c r="DY31" i="8" s="1"/>
  <c r="EH31" i="8" s="1"/>
  <c r="DX251" i="8"/>
  <c r="DY251" i="8" s="1"/>
  <c r="DX343" i="8"/>
  <c r="DY343" i="8" s="1"/>
  <c r="BZ384" i="8"/>
  <c r="BZ406" i="8" s="1"/>
  <c r="EB124" i="8"/>
  <c r="EE124" i="8" s="1"/>
  <c r="D241" i="8"/>
  <c r="EB154" i="8"/>
  <c r="EC154" i="8" s="1"/>
  <c r="EF154" i="8" s="1"/>
  <c r="EA257" i="8"/>
  <c r="EG257" i="8" s="1"/>
  <c r="DX269" i="8"/>
  <c r="DY269" i="8" s="1"/>
  <c r="DZ269" i="8" s="1"/>
  <c r="DX352" i="8"/>
  <c r="DY352" i="8" s="1"/>
  <c r="EB251" i="8"/>
  <c r="EC251" i="8" s="1"/>
  <c r="EF251" i="8" s="1"/>
  <c r="DX324" i="8"/>
  <c r="DY324" i="8" s="1"/>
  <c r="DX364" i="8"/>
  <c r="DY364" i="8" s="1"/>
  <c r="BR403" i="8"/>
  <c r="BV403" i="8"/>
  <c r="BZ403" i="8"/>
  <c r="CD403" i="8"/>
  <c r="CH403" i="8"/>
  <c r="CL403" i="8"/>
  <c r="DV403" i="8"/>
  <c r="DX91" i="8"/>
  <c r="DY91" i="8" s="1"/>
  <c r="DZ91" i="8" s="1"/>
  <c r="DX106" i="8"/>
  <c r="DY106" i="8" s="1"/>
  <c r="EH106" i="8" s="1"/>
  <c r="DX245" i="8"/>
  <c r="DY245" i="8" s="1"/>
  <c r="DZ245" i="8" s="1"/>
  <c r="EI318" i="8"/>
  <c r="EI343" i="8"/>
  <c r="DX355" i="8"/>
  <c r="DY355" i="8" s="1"/>
  <c r="I385" i="8"/>
  <c r="M385" i="8"/>
  <c r="Q385" i="8"/>
  <c r="U385" i="8"/>
  <c r="Y385" i="8"/>
  <c r="CH385" i="8"/>
  <c r="EB281" i="8"/>
  <c r="EE281" i="8" s="1"/>
  <c r="AM11" i="8"/>
  <c r="CT403" i="8"/>
  <c r="DB403" i="8"/>
  <c r="DF403" i="8"/>
  <c r="DJ403" i="8"/>
  <c r="CL385" i="8"/>
  <c r="L160" i="3"/>
  <c r="BJ385" i="8"/>
  <c r="BR385" i="8"/>
  <c r="BV385" i="8"/>
  <c r="CD385" i="8"/>
  <c r="CJ385" i="8"/>
  <c r="DX263" i="8"/>
  <c r="DY263" i="8" s="1"/>
  <c r="EI278" i="8"/>
  <c r="EJ278" i="8" s="1"/>
  <c r="EI303" i="8"/>
  <c r="DX315" i="8"/>
  <c r="DY315" i="8" s="1"/>
  <c r="H385" i="8"/>
  <c r="L385" i="8"/>
  <c r="P385" i="8"/>
  <c r="T385" i="8"/>
  <c r="X385" i="8"/>
  <c r="AB385" i="8"/>
  <c r="AF385" i="8"/>
  <c r="AJ385" i="8"/>
  <c r="AN385" i="8"/>
  <c r="AR385" i="8"/>
  <c r="AV385" i="8"/>
  <c r="AZ385" i="8"/>
  <c r="BD385" i="8"/>
  <c r="BH385" i="8"/>
  <c r="BL385" i="8"/>
  <c r="BP385" i="8"/>
  <c r="BT385" i="8"/>
  <c r="BX385" i="8"/>
  <c r="CB385" i="8"/>
  <c r="EI100" i="8"/>
  <c r="G385" i="8"/>
  <c r="G386" i="8" s="1"/>
  <c r="DX61" i="8"/>
  <c r="DY61" i="8" s="1"/>
  <c r="EH61" i="8" s="1"/>
  <c r="EI76" i="8"/>
  <c r="EI79" i="8"/>
  <c r="DX88" i="8"/>
  <c r="DY88" i="8" s="1"/>
  <c r="DZ88" i="8" s="1"/>
  <c r="G406" i="8"/>
  <c r="H403" i="8"/>
  <c r="J403" i="8"/>
  <c r="L403" i="8"/>
  <c r="N403" i="8"/>
  <c r="P403" i="8"/>
  <c r="AJ403" i="8"/>
  <c r="AO403" i="8"/>
  <c r="AQ403" i="8"/>
  <c r="BD403" i="8"/>
  <c r="CM385" i="8"/>
  <c r="DW115" i="8"/>
  <c r="AZ403" i="8"/>
  <c r="AV11" i="8"/>
  <c r="EI28" i="8"/>
  <c r="DX43" i="8"/>
  <c r="DY43" i="8" s="1"/>
  <c r="DZ43" i="8" s="1"/>
  <c r="DX52" i="8"/>
  <c r="DY52" i="8" s="1"/>
  <c r="DZ52" i="8" s="1"/>
  <c r="EI61" i="8"/>
  <c r="EJ61" i="8" s="1"/>
  <c r="DX79" i="8"/>
  <c r="DY79" i="8" s="1"/>
  <c r="DW94" i="8"/>
  <c r="DX94" i="8" s="1"/>
  <c r="DY94" i="8" s="1"/>
  <c r="DZ94" i="8" s="1"/>
  <c r="DX100" i="8"/>
  <c r="DY100" i="8" s="1"/>
  <c r="DW204" i="8"/>
  <c r="DX275" i="8"/>
  <c r="DY275" i="8" s="1"/>
  <c r="DX287" i="8"/>
  <c r="DY287" i="8" s="1"/>
  <c r="DZ287" i="8" s="1"/>
  <c r="EI294" i="8"/>
  <c r="EI297" i="8"/>
  <c r="EI306" i="8"/>
  <c r="DX318" i="8"/>
  <c r="DY318" i="8" s="1"/>
  <c r="EI321" i="8"/>
  <c r="DX331" i="8"/>
  <c r="DY331" i="8" s="1"/>
  <c r="DX367" i="8"/>
  <c r="DY367" i="8" s="1"/>
  <c r="EB67" i="8"/>
  <c r="EE67" i="8" s="1"/>
  <c r="EB136" i="8"/>
  <c r="EE136" i="8" s="1"/>
  <c r="EB184" i="8"/>
  <c r="EC184" i="8" s="1"/>
  <c r="EF184" i="8" s="1"/>
  <c r="EB284" i="8"/>
  <c r="EE284" i="8" s="1"/>
  <c r="DP11" i="8"/>
  <c r="BH401" i="8"/>
  <c r="BH403" i="8" s="1"/>
  <c r="BH11" i="8"/>
  <c r="BL401" i="8"/>
  <c r="BL403" i="8" s="1"/>
  <c r="BL11" i="8"/>
  <c r="BJ11" i="8"/>
  <c r="Z383" i="8"/>
  <c r="Z405" i="8" s="1"/>
  <c r="Z407" i="8" s="1"/>
  <c r="Z410" i="8" s="1"/>
  <c r="DW17" i="8"/>
  <c r="EI46" i="8"/>
  <c r="EJ46" i="8" s="1"/>
  <c r="DX46" i="8"/>
  <c r="DY46" i="8" s="1"/>
  <c r="EI58" i="8"/>
  <c r="EJ58" i="8" s="1"/>
  <c r="DX58" i="8"/>
  <c r="DY58" i="8" s="1"/>
  <c r="EH58" i="8" s="1"/>
  <c r="EI103" i="8"/>
  <c r="DX103" i="8"/>
  <c r="DY103" i="8" s="1"/>
  <c r="EH103" i="8" s="1"/>
  <c r="CG384" i="8"/>
  <c r="CG406" i="8" s="1"/>
  <c r="DW117" i="8"/>
  <c r="EI235" i="8"/>
  <c r="EJ235" i="8" s="1"/>
  <c r="DX235" i="8"/>
  <c r="DY235" i="8" s="1"/>
  <c r="EH235" i="8" s="1"/>
  <c r="DT401" i="8"/>
  <c r="DT403" i="8" s="1"/>
  <c r="DT11" i="8"/>
  <c r="CP6" i="8"/>
  <c r="CP401" i="8" s="1"/>
  <c r="CP403" i="8" s="1"/>
  <c r="AT402" i="8"/>
  <c r="AT403" i="8" s="1"/>
  <c r="AT11" i="8"/>
  <c r="BB402" i="8"/>
  <c r="BB403" i="8" s="1"/>
  <c r="BB11" i="8"/>
  <c r="AR11" i="8"/>
  <c r="BF11" i="8"/>
  <c r="BN11" i="8"/>
  <c r="DX22" i="8"/>
  <c r="DY22" i="8" s="1"/>
  <c r="EH22" i="8" s="1"/>
  <c r="DX28" i="8"/>
  <c r="DY28" i="8" s="1"/>
  <c r="DZ28" i="8" s="1"/>
  <c r="DX82" i="8"/>
  <c r="DY82" i="8" s="1"/>
  <c r="EI97" i="8"/>
  <c r="EJ97" i="8" s="1"/>
  <c r="EI112" i="8"/>
  <c r="EJ112" i="8" s="1"/>
  <c r="EI118" i="8"/>
  <c r="EJ118" i="8" s="1"/>
  <c r="EI223" i="8"/>
  <c r="EJ223" i="8" s="1"/>
  <c r="DX223" i="8"/>
  <c r="DY223" i="8" s="1"/>
  <c r="EH223" i="8" s="1"/>
  <c r="ED202" i="8"/>
  <c r="EI245" i="8"/>
  <c r="EJ245" i="8" s="1"/>
  <c r="DX278" i="8"/>
  <c r="DY278" i="8" s="1"/>
  <c r="DZ278" i="8" s="1"/>
  <c r="EI331" i="8"/>
  <c r="M405" i="8"/>
  <c r="M407" i="8" s="1"/>
  <c r="O405" i="8"/>
  <c r="O407" i="8" s="1"/>
  <c r="Q405" i="8"/>
  <c r="Q407" i="8" s="1"/>
  <c r="S405" i="8"/>
  <c r="S407" i="8" s="1"/>
  <c r="U405" i="8"/>
  <c r="U407" i="8" s="1"/>
  <c r="U410" i="8" s="1"/>
  <c r="W405" i="8"/>
  <c r="W407" i="8" s="1"/>
  <c r="W410" i="8" s="1"/>
  <c r="Y405" i="8"/>
  <c r="Y407" i="8" s="1"/>
  <c r="Y410" i="8" s="1"/>
  <c r="AB405" i="8"/>
  <c r="AB407" i="8" s="1"/>
  <c r="AB410" i="8" s="1"/>
  <c r="AD405" i="8"/>
  <c r="AD407" i="8" s="1"/>
  <c r="AD410" i="8" s="1"/>
  <c r="AD417" i="8" s="1"/>
  <c r="AF405" i="8"/>
  <c r="AF407" i="8" s="1"/>
  <c r="AF410" i="8" s="1"/>
  <c r="AH405" i="8"/>
  <c r="AH407" i="8" s="1"/>
  <c r="AH410" i="8" s="1"/>
  <c r="AJ405" i="8"/>
  <c r="AJ407" i="8" s="1"/>
  <c r="AL405" i="8"/>
  <c r="AL407" i="8" s="1"/>
  <c r="AN405" i="8"/>
  <c r="AN407" i="8" s="1"/>
  <c r="AP405" i="8"/>
  <c r="AP407" i="8" s="1"/>
  <c r="AR405" i="8"/>
  <c r="AR407" i="8" s="1"/>
  <c r="AT405" i="8"/>
  <c r="AT407" i="8" s="1"/>
  <c r="AV405" i="8"/>
  <c r="AV407" i="8" s="1"/>
  <c r="AX405" i="8"/>
  <c r="AX407" i="8" s="1"/>
  <c r="AZ405" i="8"/>
  <c r="AZ407" i="8" s="1"/>
  <c r="BB405" i="8"/>
  <c r="BB407" i="8" s="1"/>
  <c r="BD405" i="8"/>
  <c r="BD407" i="8" s="1"/>
  <c r="BF405" i="8"/>
  <c r="BF407" i="8" s="1"/>
  <c r="BF410" i="8" s="1"/>
  <c r="BF417" i="8" s="1"/>
  <c r="BH405" i="8"/>
  <c r="BH407" i="8" s="1"/>
  <c r="BJ405" i="8"/>
  <c r="BJ407" i="8" s="1"/>
  <c r="BJ410" i="8" s="1"/>
  <c r="BJ417" i="8" s="1"/>
  <c r="BL405" i="8"/>
  <c r="BL407" i="8" s="1"/>
  <c r="BN405" i="8"/>
  <c r="BP405" i="8"/>
  <c r="BP407" i="8" s="1"/>
  <c r="BP410" i="8" s="1"/>
  <c r="BP417" i="8" s="1"/>
  <c r="BR405" i="8"/>
  <c r="BR407" i="8" s="1"/>
  <c r="BT405" i="8"/>
  <c r="BT407" i="8" s="1"/>
  <c r="BT410" i="8" s="1"/>
  <c r="BT417" i="8" s="1"/>
  <c r="BV405" i="8"/>
  <c r="BV407" i="8" s="1"/>
  <c r="BX405" i="8"/>
  <c r="BX407" i="8" s="1"/>
  <c r="BX410" i="8" s="1"/>
  <c r="BX417" i="8" s="1"/>
  <c r="BZ405" i="8"/>
  <c r="CB405" i="8"/>
  <c r="CB407" i="8" s="1"/>
  <c r="CB410" i="8" s="1"/>
  <c r="CB417" i="8" s="1"/>
  <c r="DW7" i="8"/>
  <c r="DX49" i="8"/>
  <c r="DY49" i="8" s="1"/>
  <c r="EH49" i="8" s="1"/>
  <c r="EI49" i="8"/>
  <c r="EJ49" i="8" s="1"/>
  <c r="EI52" i="8"/>
  <c r="EJ52" i="8" s="1"/>
  <c r="EI91" i="8"/>
  <c r="EJ91" i="8" s="1"/>
  <c r="ED97" i="8"/>
  <c r="DX97" i="8"/>
  <c r="DY97" i="8" s="1"/>
  <c r="DZ97" i="8" s="1"/>
  <c r="EI106" i="8"/>
  <c r="DX112" i="8"/>
  <c r="DY112" i="8" s="1"/>
  <c r="DZ112" i="8" s="1"/>
  <c r="DX118" i="8"/>
  <c r="DY118" i="8" s="1"/>
  <c r="DZ118" i="8" s="1"/>
  <c r="ED214" i="8"/>
  <c r="DX220" i="8"/>
  <c r="DY220" i="8" s="1"/>
  <c r="EH220" i="8" s="1"/>
  <c r="DX232" i="8"/>
  <c r="DY232" i="8" s="1"/>
  <c r="EH232" i="8" s="1"/>
  <c r="EI254" i="8"/>
  <c r="EJ254" i="8" s="1"/>
  <c r="EI269" i="8"/>
  <c r="EJ269" i="8" s="1"/>
  <c r="EI281" i="8"/>
  <c r="EJ281" i="8" s="1"/>
  <c r="EI290" i="8"/>
  <c r="EJ290" i="8" s="1"/>
  <c r="DX294" i="8"/>
  <c r="DY294" i="8" s="1"/>
  <c r="DX297" i="8"/>
  <c r="DY297" i="8" s="1"/>
  <c r="EI300" i="8"/>
  <c r="DX303" i="8"/>
  <c r="DY303" i="8" s="1"/>
  <c r="DX309" i="8"/>
  <c r="DY309" i="8" s="1"/>
  <c r="DX321" i="8"/>
  <c r="DY321" i="8" s="1"/>
  <c r="EI324" i="8"/>
  <c r="EI328" i="8"/>
  <c r="DX334" i="8"/>
  <c r="DY334" i="8" s="1"/>
  <c r="DX346" i="8"/>
  <c r="DY346" i="8" s="1"/>
  <c r="EI367" i="8"/>
  <c r="DX370" i="8"/>
  <c r="DY370" i="8" s="1"/>
  <c r="DZ370" i="8" s="1"/>
  <c r="H405" i="8"/>
  <c r="H407" i="8" s="1"/>
  <c r="J405" i="8"/>
  <c r="J407" i="8" s="1"/>
  <c r="L405" i="8"/>
  <c r="L407" i="8" s="1"/>
  <c r="N405" i="8"/>
  <c r="N407" i="8" s="1"/>
  <c r="P405" i="8"/>
  <c r="P407" i="8" s="1"/>
  <c r="R405" i="8"/>
  <c r="R407" i="8" s="1"/>
  <c r="T405" i="8"/>
  <c r="T407" i="8" s="1"/>
  <c r="T410" i="8" s="1"/>
  <c r="CD405" i="8"/>
  <c r="CD407" i="8" s="1"/>
  <c r="CH405" i="8"/>
  <c r="CH407" i="8" s="1"/>
  <c r="CJ405" i="8"/>
  <c r="CJ407" i="8" s="1"/>
  <c r="CJ410" i="8" s="1"/>
  <c r="CJ417" i="8" s="1"/>
  <c r="CN405" i="8"/>
  <c r="CN407" i="8" s="1"/>
  <c r="CN410" i="8" s="1"/>
  <c r="CN417" i="8" s="1"/>
  <c r="V405" i="8"/>
  <c r="V407" i="8" s="1"/>
  <c r="V410" i="8" s="1"/>
  <c r="X405" i="8"/>
  <c r="X407" i="8" s="1"/>
  <c r="X410" i="8" s="1"/>
  <c r="AA405" i="8"/>
  <c r="AA407" i="8" s="1"/>
  <c r="AA410" i="8" s="1"/>
  <c r="AA417" i="8" s="1"/>
  <c r="AC405" i="8"/>
  <c r="AC407" i="8" s="1"/>
  <c r="AC410" i="8" s="1"/>
  <c r="AE405" i="8"/>
  <c r="AE407" i="8" s="1"/>
  <c r="AE410" i="8" s="1"/>
  <c r="AG405" i="8"/>
  <c r="AG407" i="8" s="1"/>
  <c r="AG410" i="8" s="1"/>
  <c r="AG417" i="8" s="1"/>
  <c r="AI405" i="8"/>
  <c r="AI407" i="8" s="1"/>
  <c r="AK405" i="8"/>
  <c r="AK407" i="8" s="1"/>
  <c r="AM405" i="8"/>
  <c r="AM407" i="8" s="1"/>
  <c r="AO405" i="8"/>
  <c r="AO407" i="8" s="1"/>
  <c r="AQ405" i="8"/>
  <c r="AQ407" i="8" s="1"/>
  <c r="AS405" i="8"/>
  <c r="AS407" i="8" s="1"/>
  <c r="AU405" i="8"/>
  <c r="AU407" i="8" s="1"/>
  <c r="AW405" i="8"/>
  <c r="AW407" i="8" s="1"/>
  <c r="AY405" i="8"/>
  <c r="AY407" i="8" s="1"/>
  <c r="BA405" i="8"/>
  <c r="BA407" i="8" s="1"/>
  <c r="BC405" i="8"/>
  <c r="BC407" i="8" s="1"/>
  <c r="BE405" i="8"/>
  <c r="BE407" i="8" s="1"/>
  <c r="BG405" i="8"/>
  <c r="BG407" i="8" s="1"/>
  <c r="BI405" i="8"/>
  <c r="BI407" i="8" s="1"/>
  <c r="BK405" i="8"/>
  <c r="BK407" i="8" s="1"/>
  <c r="BM405" i="8"/>
  <c r="BM407" i="8" s="1"/>
  <c r="BO405" i="8"/>
  <c r="BO407" i="8" s="1"/>
  <c r="BO410" i="8" s="1"/>
  <c r="BO417" i="8" s="1"/>
  <c r="BQ405" i="8"/>
  <c r="BQ407" i="8" s="1"/>
  <c r="BS405" i="8"/>
  <c r="BS407" i="8" s="1"/>
  <c r="BU405" i="8"/>
  <c r="BU407" i="8" s="1"/>
  <c r="BW405" i="8"/>
  <c r="BW407" i="8" s="1"/>
  <c r="BY405" i="8"/>
  <c r="CA405" i="8"/>
  <c r="CA407" i="8" s="1"/>
  <c r="CC405" i="8"/>
  <c r="CC407" i="8" s="1"/>
  <c r="CE405" i="8"/>
  <c r="CE407" i="8" s="1"/>
  <c r="CG405" i="8"/>
  <c r="CM405" i="8"/>
  <c r="CM407" i="8" s="1"/>
  <c r="CM410" i="8" s="1"/>
  <c r="CM417" i="8" s="1"/>
  <c r="I403" i="8"/>
  <c r="K403" i="8"/>
  <c r="M403" i="8"/>
  <c r="O403" i="8"/>
  <c r="Q403" i="8"/>
  <c r="AK403" i="8"/>
  <c r="AP403" i="8"/>
  <c r="AX403" i="8"/>
  <c r="BC403" i="8"/>
  <c r="N458" i="8"/>
  <c r="D346" i="8"/>
  <c r="D355" i="8"/>
  <c r="DZ355" i="8" s="1"/>
  <c r="AC61" i="3"/>
  <c r="D343" i="8"/>
  <c r="D373" i="8"/>
  <c r="D361" i="8"/>
  <c r="D115" i="8"/>
  <c r="D127" i="8"/>
  <c r="D337" i="8"/>
  <c r="D352" i="8"/>
  <c r="DZ352" i="8" s="1"/>
  <c r="EA193" i="8"/>
  <c r="ED193" i="8" s="1"/>
  <c r="EA145" i="8"/>
  <c r="ED145" i="8" s="1"/>
  <c r="D349" i="8"/>
  <c r="ED52" i="8"/>
  <c r="EG55" i="8"/>
  <c r="D300" i="8"/>
  <c r="D109" i="8"/>
  <c r="D79" i="8"/>
  <c r="D82" i="8"/>
  <c r="EC94" i="8"/>
  <c r="EF94" i="8" s="1"/>
  <c r="D133" i="8"/>
  <c r="CP384" i="8" s="1"/>
  <c r="CP406" i="8" s="1"/>
  <c r="ED318" i="8"/>
  <c r="ED306" i="8"/>
  <c r="EE37" i="8"/>
  <c r="EB106" i="8"/>
  <c r="EE130" i="8"/>
  <c r="EA139" i="8"/>
  <c r="EG220" i="8"/>
  <c r="DK403" i="8"/>
  <c r="DL403" i="8"/>
  <c r="D100" i="8"/>
  <c r="D103" i="8"/>
  <c r="D139" i="8"/>
  <c r="D145" i="8"/>
  <c r="D294" i="8"/>
  <c r="D306" i="8"/>
  <c r="D309" i="8"/>
  <c r="EJ309" i="8" s="1"/>
  <c r="D315" i="8"/>
  <c r="D321" i="8"/>
  <c r="D187" i="8"/>
  <c r="D190" i="8"/>
  <c r="D193" i="8"/>
  <c r="D364" i="8"/>
  <c r="EE25" i="8"/>
  <c r="EE28" i="8"/>
  <c r="ED31" i="8"/>
  <c r="D157" i="8"/>
  <c r="DN157" i="8" s="1"/>
  <c r="D318" i="8"/>
  <c r="D324" i="8"/>
  <c r="EA187" i="8"/>
  <c r="EB187" i="8" s="1"/>
  <c r="ED340" i="8"/>
  <c r="DW142" i="8"/>
  <c r="EA328" i="8"/>
  <c r="D340" i="8"/>
  <c r="DZ340" i="8" s="1"/>
  <c r="D76" i="8"/>
  <c r="EC112" i="8"/>
  <c r="EF112" i="8" s="1"/>
  <c r="EA115" i="8"/>
  <c r="ED115" i="8" s="1"/>
  <c r="D121" i="8"/>
  <c r="ED235" i="8"/>
  <c r="EC241" i="8"/>
  <c r="EF241" i="8" s="1"/>
  <c r="EG172" i="8"/>
  <c r="D312" i="8"/>
  <c r="EA196" i="8"/>
  <c r="EA199" i="8"/>
  <c r="ED199" i="8" s="1"/>
  <c r="D328" i="8"/>
  <c r="DZ358" i="8"/>
  <c r="D367" i="8"/>
  <c r="EA373" i="8"/>
  <c r="EC43" i="8"/>
  <c r="EF43" i="8" s="1"/>
  <c r="D106" i="8"/>
  <c r="EA121" i="8"/>
  <c r="D211" i="8"/>
  <c r="EC229" i="8"/>
  <c r="EF229" i="8" s="1"/>
  <c r="D297" i="8"/>
  <c r="D303" i="8"/>
  <c r="D196" i="8"/>
  <c r="EA331" i="8"/>
  <c r="EE88" i="8"/>
  <c r="ED223" i="8"/>
  <c r="EG232" i="8"/>
  <c r="EC40" i="8"/>
  <c r="EF40" i="8" s="1"/>
  <c r="EG94" i="8"/>
  <c r="ED106" i="8"/>
  <c r="ED124" i="8"/>
  <c r="ED178" i="8"/>
  <c r="EC181" i="8"/>
  <c r="EF181" i="8" s="1"/>
  <c r="EG184" i="8"/>
  <c r="EC248" i="8"/>
  <c r="EF248" i="8" s="1"/>
  <c r="ED269" i="8"/>
  <c r="ED281" i="8"/>
  <c r="ED352" i="8"/>
  <c r="EC19" i="8"/>
  <c r="EF19" i="8" s="1"/>
  <c r="EC34" i="8"/>
  <c r="EF34" i="8" s="1"/>
  <c r="EC55" i="8"/>
  <c r="EF55" i="8" s="1"/>
  <c r="EB306" i="8"/>
  <c r="EB318" i="8"/>
  <c r="ED364" i="8"/>
  <c r="EH88" i="8"/>
  <c r="DR401" i="8"/>
  <c r="DR403" i="8" s="1"/>
  <c r="DR11" i="8"/>
  <c r="DZ22" i="8"/>
  <c r="BG11" i="8"/>
  <c r="BG401" i="8"/>
  <c r="BG403" i="8" s="1"/>
  <c r="BI11" i="8"/>
  <c r="BI401" i="8"/>
  <c r="BI403" i="8" s="1"/>
  <c r="BK11" i="8"/>
  <c r="BK401" i="8"/>
  <c r="BK403" i="8" s="1"/>
  <c r="BM11" i="8"/>
  <c r="BM401" i="8"/>
  <c r="BM403" i="8" s="1"/>
  <c r="DO11" i="8"/>
  <c r="DO401" i="8"/>
  <c r="DO403" i="8" s="1"/>
  <c r="AS402" i="8"/>
  <c r="AS403" i="8" s="1"/>
  <c r="AS11" i="8"/>
  <c r="AU402" i="8"/>
  <c r="AU403" i="8" s="1"/>
  <c r="AU11" i="8"/>
  <c r="AW402" i="8"/>
  <c r="AW403" i="8" s="1"/>
  <c r="AW11" i="8"/>
  <c r="BE402" i="8"/>
  <c r="BE403" i="8" s="1"/>
  <c r="BE11" i="8"/>
  <c r="DW9" i="8"/>
  <c r="AL11" i="8"/>
  <c r="BP11" i="8"/>
  <c r="BT11" i="8"/>
  <c r="BX11" i="8"/>
  <c r="CB11" i="8"/>
  <c r="CF11" i="8"/>
  <c r="CJ11" i="8"/>
  <c r="CN11" i="8"/>
  <c r="CR11" i="8"/>
  <c r="CV11" i="8"/>
  <c r="CZ11" i="8"/>
  <c r="DD11" i="8"/>
  <c r="DH11" i="8"/>
  <c r="EI19" i="8"/>
  <c r="EJ19" i="8" s="1"/>
  <c r="EJ28" i="8"/>
  <c r="EI34" i="8"/>
  <c r="EJ34" i="8" s="1"/>
  <c r="DX34" i="8"/>
  <c r="DY34" i="8" s="1"/>
  <c r="ED34" i="8"/>
  <c r="EG34" i="8"/>
  <c r="EI37" i="8"/>
  <c r="EJ37" i="8" s="1"/>
  <c r="DX37" i="8"/>
  <c r="DY37" i="8" s="1"/>
  <c r="EI40" i="8"/>
  <c r="EJ40" i="8" s="1"/>
  <c r="DX40" i="8"/>
  <c r="DY40" i="8" s="1"/>
  <c r="EI43" i="8"/>
  <c r="EJ43" i="8" s="1"/>
  <c r="EE46" i="8"/>
  <c r="EC46" i="8"/>
  <c r="EF46" i="8" s="1"/>
  <c r="EE52" i="8"/>
  <c r="EC52" i="8"/>
  <c r="EF52" i="8" s="1"/>
  <c r="EI67" i="8"/>
  <c r="EJ67" i="8" s="1"/>
  <c r="DX67" i="8"/>
  <c r="DY67" i="8" s="1"/>
  <c r="EE73" i="8"/>
  <c r="EC73" i="8"/>
  <c r="EF73" i="8" s="1"/>
  <c r="EI85" i="8"/>
  <c r="EJ85" i="8" s="1"/>
  <c r="DX85" i="8"/>
  <c r="DY85" i="8" s="1"/>
  <c r="EG88" i="8"/>
  <c r="ED88" i="8"/>
  <c r="EI88" i="8"/>
  <c r="EJ88" i="8" s="1"/>
  <c r="CF385" i="8"/>
  <c r="EE97" i="8"/>
  <c r="EC97" i="8"/>
  <c r="EF97" i="8" s="1"/>
  <c r="DW121" i="8"/>
  <c r="EC127" i="8"/>
  <c r="EF127" i="8" s="1"/>
  <c r="EE127" i="8"/>
  <c r="EG148" i="8"/>
  <c r="EE214" i="8"/>
  <c r="EC214" i="8"/>
  <c r="EF214" i="8" s="1"/>
  <c r="EE223" i="8"/>
  <c r="EC223" i="8"/>
  <c r="EF223" i="8" s="1"/>
  <c r="EI229" i="8"/>
  <c r="EJ229" i="8" s="1"/>
  <c r="DX229" i="8"/>
  <c r="DY229" i="8" s="1"/>
  <c r="EE235" i="8"/>
  <c r="EC235" i="8"/>
  <c r="EF235" i="8" s="1"/>
  <c r="EI241" i="8"/>
  <c r="DX241" i="8"/>
  <c r="DY241" i="8" s="1"/>
  <c r="EE202" i="8"/>
  <c r="EC202" i="8"/>
  <c r="EF202" i="8" s="1"/>
  <c r="EI248" i="8"/>
  <c r="EJ248" i="8" s="1"/>
  <c r="DX248" i="8"/>
  <c r="DY248" i="8" s="1"/>
  <c r="DZ248" i="8" s="1"/>
  <c r="EI263" i="8"/>
  <c r="EJ263" i="8" s="1"/>
  <c r="EI272" i="8"/>
  <c r="EJ272" i="8" s="1"/>
  <c r="DX272" i="8"/>
  <c r="DY272" i="8" s="1"/>
  <c r="DZ272" i="8" s="1"/>
  <c r="EI284" i="8"/>
  <c r="EJ284" i="8" s="1"/>
  <c r="DX284" i="8"/>
  <c r="DY284" i="8" s="1"/>
  <c r="DZ284" i="8" s="1"/>
  <c r="ED321" i="8"/>
  <c r="EB321" i="8"/>
  <c r="EG321" i="8"/>
  <c r="EI337" i="8"/>
  <c r="DX337" i="8"/>
  <c r="DY337" i="8" s="1"/>
  <c r="EB337" i="8"/>
  <c r="ED337" i="8"/>
  <c r="EC346" i="8"/>
  <c r="EF346" i="8" s="1"/>
  <c r="EE346" i="8"/>
  <c r="EI349" i="8"/>
  <c r="DX349" i="8"/>
  <c r="DY349" i="8" s="1"/>
  <c r="EB349" i="8"/>
  <c r="ED349" i="8"/>
  <c r="EI361" i="8"/>
  <c r="DX361" i="8"/>
  <c r="DY361" i="8" s="1"/>
  <c r="EC370" i="8"/>
  <c r="EF370" i="8" s="1"/>
  <c r="EE370" i="8"/>
  <c r="EI373" i="8"/>
  <c r="DX373" i="8"/>
  <c r="DY373" i="8" s="1"/>
  <c r="ED379" i="8"/>
  <c r="EB379" i="8"/>
  <c r="CA385" i="8"/>
  <c r="G405" i="8"/>
  <c r="I405" i="8"/>
  <c r="I407" i="8" s="1"/>
  <c r="K405" i="8"/>
  <c r="K407" i="8" s="1"/>
  <c r="CF405" i="8"/>
  <c r="CF407" i="8" s="1"/>
  <c r="CF410" i="8" s="1"/>
  <c r="CF417" i="8" s="1"/>
  <c r="CL405" i="8"/>
  <c r="CL407" i="8" s="1"/>
  <c r="R403" i="8"/>
  <c r="AL403" i="8"/>
  <c r="AY403" i="8"/>
  <c r="Q478" i="8"/>
  <c r="N463" i="8" s="1"/>
  <c r="M463" i="8"/>
  <c r="R11" i="8"/>
  <c r="AN11" i="8"/>
  <c r="AZ11" i="8"/>
  <c r="BR11" i="8"/>
  <c r="BV11" i="8"/>
  <c r="BZ11" i="8"/>
  <c r="CD11" i="8"/>
  <c r="CH11" i="8"/>
  <c r="CL11" i="8"/>
  <c r="CT11" i="8"/>
  <c r="DB11" i="8"/>
  <c r="DF11" i="8"/>
  <c r="DJ11" i="8"/>
  <c r="DN11" i="8"/>
  <c r="DV11" i="8"/>
  <c r="EG19" i="8"/>
  <c r="EI25" i="8"/>
  <c r="EJ25" i="8" s="1"/>
  <c r="EI31" i="8"/>
  <c r="EJ31" i="8" s="1"/>
  <c r="EE31" i="8"/>
  <c r="EC31" i="8"/>
  <c r="EF31" i="8" s="1"/>
  <c r="EG43" i="8"/>
  <c r="DX55" i="8"/>
  <c r="DY55" i="8" s="1"/>
  <c r="EI55" i="8"/>
  <c r="EJ55" i="8" s="1"/>
  <c r="EE61" i="8"/>
  <c r="EI64" i="8"/>
  <c r="EJ64" i="8" s="1"/>
  <c r="EI70" i="8"/>
  <c r="EJ70" i="8" s="1"/>
  <c r="DX70" i="8"/>
  <c r="DY70" i="8" s="1"/>
  <c r="EI73" i="8"/>
  <c r="EJ73" i="8" s="1"/>
  <c r="DX73" i="8"/>
  <c r="DY73" i="8" s="1"/>
  <c r="DX76" i="8"/>
  <c r="DY76" i="8" s="1"/>
  <c r="ED79" i="8"/>
  <c r="EB79" i="8"/>
  <c r="EG79" i="8"/>
  <c r="EI82" i="8"/>
  <c r="EE85" i="8"/>
  <c r="EC85" i="8"/>
  <c r="EF85" i="8" s="1"/>
  <c r="ED100" i="8"/>
  <c r="EB100" i="8"/>
  <c r="EG100" i="8"/>
  <c r="EI109" i="8"/>
  <c r="DX109" i="8"/>
  <c r="DY109" i="8" s="1"/>
  <c r="EG112" i="8"/>
  <c r="EE118" i="8"/>
  <c r="DW124" i="8"/>
  <c r="EG136" i="8"/>
  <c r="EE220" i="8"/>
  <c r="EC220" i="8"/>
  <c r="EF220" i="8" s="1"/>
  <c r="EI220" i="8"/>
  <c r="EJ220" i="8" s="1"/>
  <c r="EI226" i="8"/>
  <c r="EJ226" i="8" s="1"/>
  <c r="DX226" i="8"/>
  <c r="DY226" i="8" s="1"/>
  <c r="EH226" i="8" s="1"/>
  <c r="EE232" i="8"/>
  <c r="EC232" i="8"/>
  <c r="EF232" i="8" s="1"/>
  <c r="EI232" i="8"/>
  <c r="EJ232" i="8" s="1"/>
  <c r="EI238" i="8"/>
  <c r="EJ238" i="8" s="1"/>
  <c r="DX238" i="8"/>
  <c r="DY238" i="8" s="1"/>
  <c r="EH238" i="8" s="1"/>
  <c r="EE172" i="8"/>
  <c r="EC172" i="8"/>
  <c r="EF172" i="8" s="1"/>
  <c r="EE178" i="8"/>
  <c r="EC178" i="8"/>
  <c r="EF178" i="8" s="1"/>
  <c r="EG181" i="8"/>
  <c r="EG248" i="8"/>
  <c r="EI251" i="8"/>
  <c r="EI260" i="8"/>
  <c r="EJ260" i="8" s="1"/>
  <c r="DX260" i="8"/>
  <c r="DY260" i="8" s="1"/>
  <c r="DZ260" i="8" s="1"/>
  <c r="EI266" i="8"/>
  <c r="EJ266" i="8" s="1"/>
  <c r="EE269" i="8"/>
  <c r="EC269" i="8"/>
  <c r="EF269" i="8" s="1"/>
  <c r="EG272" i="8"/>
  <c r="EI275" i="8"/>
  <c r="EJ275" i="8" s="1"/>
  <c r="EG284" i="8"/>
  <c r="EE287" i="8"/>
  <c r="EC287" i="8"/>
  <c r="EF287" i="8" s="1"/>
  <c r="EI287" i="8"/>
  <c r="EJ287" i="8" s="1"/>
  <c r="DX306" i="8"/>
  <c r="DY306" i="8" s="1"/>
  <c r="ED309" i="8"/>
  <c r="EB309" i="8"/>
  <c r="EI312" i="8"/>
  <c r="DX312" i="8"/>
  <c r="DY312" i="8" s="1"/>
  <c r="EI315" i="8"/>
  <c r="EI334" i="8"/>
  <c r="EI340" i="8"/>
  <c r="EI346" i="8"/>
  <c r="EI352" i="8"/>
  <c r="EI358" i="8"/>
  <c r="EJ358" i="8" s="1"/>
  <c r="EI364" i="8"/>
  <c r="EI370" i="8"/>
  <c r="EJ370" i="8" s="1"/>
  <c r="ED376" i="8"/>
  <c r="EB376" i="8"/>
  <c r="BN384" i="8"/>
  <c r="BN406" i="8" s="1"/>
  <c r="AD385" i="8"/>
  <c r="CN385" i="8"/>
  <c r="CI405" i="8"/>
  <c r="CI407" i="8" s="1"/>
  <c r="CK405" i="8"/>
  <c r="CK407" i="8" s="1"/>
  <c r="G403" i="8"/>
  <c r="AI403" i="8"/>
  <c r="AN403" i="8"/>
  <c r="AR403" i="8"/>
  <c r="AV403" i="8"/>
  <c r="M457" i="8"/>
  <c r="H453" i="8"/>
  <c r="AM401" i="8"/>
  <c r="AM403" i="8" s="1"/>
  <c r="BQ401" i="8"/>
  <c r="BQ403" i="8" s="1"/>
  <c r="BS401" i="8"/>
  <c r="BS403" i="8" s="1"/>
  <c r="BU401" i="8"/>
  <c r="BU403" i="8" s="1"/>
  <c r="BW401" i="8"/>
  <c r="BW403" i="8" s="1"/>
  <c r="BY401" i="8"/>
  <c r="BY403" i="8" s="1"/>
  <c r="CA401" i="8"/>
  <c r="CA403" i="8" s="1"/>
  <c r="CC401" i="8"/>
  <c r="CC403" i="8" s="1"/>
  <c r="CE401" i="8"/>
  <c r="CE403" i="8" s="1"/>
  <c r="CG401" i="8"/>
  <c r="CG403" i="8" s="1"/>
  <c r="CI401" i="8"/>
  <c r="CI403" i="8" s="1"/>
  <c r="CK401" i="8"/>
  <c r="CK403" i="8" s="1"/>
  <c r="CO401" i="8"/>
  <c r="CO403" i="8" s="1"/>
  <c r="CQ401" i="8"/>
  <c r="CQ403" i="8" s="1"/>
  <c r="CS401" i="8"/>
  <c r="CS403" i="8" s="1"/>
  <c r="CU401" i="8"/>
  <c r="CU403" i="8" s="1"/>
  <c r="CW401" i="8"/>
  <c r="CW403" i="8" s="1"/>
  <c r="CY401" i="8"/>
  <c r="CY403" i="8" s="1"/>
  <c r="DC401" i="8"/>
  <c r="DC403" i="8" s="1"/>
  <c r="DE401" i="8"/>
  <c r="DE403" i="8" s="1"/>
  <c r="DG401" i="8"/>
  <c r="DG403" i="8" s="1"/>
  <c r="DI401" i="8"/>
  <c r="DI403" i="8" s="1"/>
  <c r="DM401" i="8"/>
  <c r="DM403" i="8" s="1"/>
  <c r="DQ401" i="8"/>
  <c r="DQ403" i="8" s="1"/>
  <c r="DS401" i="8"/>
  <c r="DS403" i="8" s="1"/>
  <c r="DU401" i="8"/>
  <c r="DU403" i="8" s="1"/>
  <c r="M448" i="8"/>
  <c r="M458" i="8"/>
  <c r="P448" i="8"/>
  <c r="P450" i="8" s="1"/>
  <c r="G11" i="8"/>
  <c r="G12" i="8" s="1"/>
  <c r="H12" i="8" s="1"/>
  <c r="I12" i="8" s="1"/>
  <c r="J12" i="8" s="1"/>
  <c r="K12" i="8" s="1"/>
  <c r="L12" i="8" s="1"/>
  <c r="M12" i="8" s="1"/>
  <c r="N12" i="8" s="1"/>
  <c r="O12" i="8" s="1"/>
  <c r="P12" i="8" s="1"/>
  <c r="Q12" i="8" s="1"/>
  <c r="AI11" i="8"/>
  <c r="AY11" i="8"/>
  <c r="CM11" i="8"/>
  <c r="CY11" i="8"/>
  <c r="DK11" i="8"/>
  <c r="EG22" i="8"/>
  <c r="EG46" i="8"/>
  <c r="EG58" i="8"/>
  <c r="EG67" i="8"/>
  <c r="EG73" i="8"/>
  <c r="EG85" i="8"/>
  <c r="EG91" i="8"/>
  <c r="EG226" i="8"/>
  <c r="EG238" i="8"/>
  <c r="EG251" i="8"/>
  <c r="EG287" i="8"/>
  <c r="BY384" i="8"/>
  <c r="BY406" i="8" s="1"/>
  <c r="BY407" i="8" s="1"/>
  <c r="H427" i="8"/>
  <c r="CN430" i="8"/>
  <c r="CZ430" i="8"/>
  <c r="H456" i="8"/>
  <c r="H468" i="8" s="1"/>
  <c r="L468" i="8"/>
  <c r="N457" i="8"/>
  <c r="AH101" i="3"/>
  <c r="AJ15" i="3"/>
  <c r="AJ17" i="3"/>
  <c r="L136" i="3"/>
  <c r="M53" i="3"/>
  <c r="M68" i="3" s="1"/>
  <c r="L139" i="3"/>
  <c r="AC56" i="3"/>
  <c r="M80" i="3"/>
  <c r="AH105" i="3"/>
  <c r="AN143" i="3"/>
  <c r="AC62" i="3"/>
  <c r="F22" i="73"/>
  <c r="DV415" i="8" s="1"/>
  <c r="F21" i="73"/>
  <c r="DS415" i="8" s="1"/>
  <c r="F20" i="73"/>
  <c r="F19" i="73"/>
  <c r="F18" i="73"/>
  <c r="C17" i="73"/>
  <c r="G17" i="73" s="1"/>
  <c r="D14" i="73"/>
  <c r="D14" i="71"/>
  <c r="C17" i="71"/>
  <c r="G17" i="71" s="1"/>
  <c r="F19" i="71"/>
  <c r="F20" i="71"/>
  <c r="DH430" i="8" s="1"/>
  <c r="F21" i="71"/>
  <c r="F22" i="71"/>
  <c r="EC312" i="8"/>
  <c r="EF312" i="8" s="1"/>
  <c r="EE312" i="8"/>
  <c r="EG109" i="8"/>
  <c r="ED109" i="8"/>
  <c r="EG266" i="8"/>
  <c r="ED266" i="8"/>
  <c r="ED28" i="8"/>
  <c r="ED241" i="8"/>
  <c r="EG49" i="8"/>
  <c r="ED49" i="8"/>
  <c r="EG154" i="8"/>
  <c r="ED154" i="8"/>
  <c r="EG175" i="8"/>
  <c r="ED175" i="8"/>
  <c r="DZ263" i="8"/>
  <c r="EG290" i="8"/>
  <c r="ED290" i="8"/>
  <c r="EB315" i="8"/>
  <c r="EG315" i="8"/>
  <c r="EG324" i="8"/>
  <c r="ED324" i="8"/>
  <c r="EG25" i="8"/>
  <c r="ED25" i="8"/>
  <c r="EG127" i="8"/>
  <c r="ED127" i="8"/>
  <c r="EG130" i="8"/>
  <c r="ED130" i="8"/>
  <c r="ED229" i="8"/>
  <c r="ED40" i="8"/>
  <c r="EE49" i="8"/>
  <c r="EC58" i="8"/>
  <c r="EF58" i="8" s="1"/>
  <c r="ED70" i="8"/>
  <c r="ED118" i="8"/>
  <c r="EC226" i="8"/>
  <c r="EF226" i="8" s="1"/>
  <c r="EC238" i="8"/>
  <c r="EF238" i="8" s="1"/>
  <c r="EE175" i="8"/>
  <c r="EE343" i="8"/>
  <c r="ED346" i="8"/>
  <c r="EE355" i="8"/>
  <c r="EE367" i="8"/>
  <c r="ED370" i="8"/>
  <c r="DZ275" i="8"/>
  <c r="EG254" i="8"/>
  <c r="ED254" i="8"/>
  <c r="EG37" i="8"/>
  <c r="ED37" i="8"/>
  <c r="EB82" i="8"/>
  <c r="EG82" i="8"/>
  <c r="EG142" i="8"/>
  <c r="ED142" i="8"/>
  <c r="EB294" i="8"/>
  <c r="EG294" i="8"/>
  <c r="EB297" i="8"/>
  <c r="EG297" i="8"/>
  <c r="EB300" i="8"/>
  <c r="EG300" i="8"/>
  <c r="EB303" i="8"/>
  <c r="EG303" i="8"/>
  <c r="EG312" i="8"/>
  <c r="ED312" i="8"/>
  <c r="ED61" i="8"/>
  <c r="EC22" i="8"/>
  <c r="EF22" i="8" s="1"/>
  <c r="EE109" i="8"/>
  <c r="EE254" i="8"/>
  <c r="EE266" i="8"/>
  <c r="EE290" i="8"/>
  <c r="EE324" i="8"/>
  <c r="EE340" i="8"/>
  <c r="ED343" i="8"/>
  <c r="EE352" i="8"/>
  <c r="ED355" i="8"/>
  <c r="EE364" i="8"/>
  <c r="ED367" i="8"/>
  <c r="AD137" i="3"/>
  <c r="Z137" i="3" s="1"/>
  <c r="X137" i="3" s="1"/>
  <c r="EA205" i="8"/>
  <c r="BE410" i="8" l="1"/>
  <c r="BE417" i="8" s="1"/>
  <c r="DG147" i="8"/>
  <c r="DF147" i="8"/>
  <c r="DZ49" i="8"/>
  <c r="DG193" i="8"/>
  <c r="DI193" i="8"/>
  <c r="DH193" i="8"/>
  <c r="BA410" i="8"/>
  <c r="BA417" i="8" s="1"/>
  <c r="DQ384" i="8"/>
  <c r="DQ406" i="8" s="1"/>
  <c r="EH19" i="8"/>
  <c r="L410" i="8"/>
  <c r="DS211" i="8"/>
  <c r="DO211" i="8"/>
  <c r="DM211" i="8"/>
  <c r="DP211" i="8"/>
  <c r="DR211" i="8"/>
  <c r="DN211" i="8"/>
  <c r="DQ211" i="8"/>
  <c r="DT211" i="8"/>
  <c r="P410" i="8"/>
  <c r="BQ410" i="8"/>
  <c r="BQ417" i="8" s="1"/>
  <c r="DL196" i="8"/>
  <c r="DO196" i="8"/>
  <c r="DN196" i="8"/>
  <c r="DM196" i="8"/>
  <c r="DR196" i="8"/>
  <c r="DQ196" i="8"/>
  <c r="DP196" i="8"/>
  <c r="DZ64" i="8"/>
  <c r="DZ31" i="8"/>
  <c r="EJ76" i="8"/>
  <c r="H410" i="8"/>
  <c r="BD410" i="8"/>
  <c r="BD417" i="8" s="1"/>
  <c r="AS410" i="8"/>
  <c r="AS417" i="8" s="1"/>
  <c r="DZ79" i="8"/>
  <c r="AW410" i="8"/>
  <c r="AW417" i="8" s="1"/>
  <c r="K457" i="8"/>
  <c r="K469" i="8" s="1"/>
  <c r="CD410" i="8"/>
  <c r="CD417" i="8" s="1"/>
  <c r="K458" i="8"/>
  <c r="K470" i="8" s="1"/>
  <c r="J453" i="8"/>
  <c r="G458" i="8"/>
  <c r="G470" i="8" s="1"/>
  <c r="J458" i="8"/>
  <c r="J470" i="8" s="1"/>
  <c r="G448" i="8"/>
  <c r="L458" i="8"/>
  <c r="L470" i="8" s="1"/>
  <c r="I458" i="8"/>
  <c r="I470" i="8" s="1"/>
  <c r="H448" i="8"/>
  <c r="I456" i="8"/>
  <c r="I468" i="8" s="1"/>
  <c r="J457" i="8"/>
  <c r="J469" i="8" s="1"/>
  <c r="L457" i="8"/>
  <c r="L469" i="8" s="1"/>
  <c r="J448" i="8"/>
  <c r="K456" i="8"/>
  <c r="K468" i="8" s="1"/>
  <c r="G453" i="8"/>
  <c r="L449" i="8"/>
  <c r="L463" i="8" s="1"/>
  <c r="H458" i="8"/>
  <c r="H470" i="8" s="1"/>
  <c r="H449" i="8"/>
  <c r="H463" i="8" s="1"/>
  <c r="G456" i="8"/>
  <c r="G468" i="8" s="1"/>
  <c r="AZ410" i="8"/>
  <c r="AZ417" i="8" s="1"/>
  <c r="P456" i="8"/>
  <c r="N456" i="8"/>
  <c r="N468" i="8" s="1"/>
  <c r="G449" i="8"/>
  <c r="M456" i="8"/>
  <c r="M468" i="8" s="1"/>
  <c r="J456" i="8"/>
  <c r="J468" i="8" s="1"/>
  <c r="I449" i="8"/>
  <c r="I463" i="8" s="1"/>
  <c r="O456" i="8"/>
  <c r="I453" i="8"/>
  <c r="K449" i="8"/>
  <c r="K463" i="8" s="1"/>
  <c r="DN181" i="8"/>
  <c r="DM181" i="8"/>
  <c r="DL181" i="8"/>
  <c r="DW174" i="8"/>
  <c r="DL157" i="8"/>
  <c r="DK157" i="8"/>
  <c r="DJ157" i="8"/>
  <c r="DI157" i="8"/>
  <c r="DM157" i="8"/>
  <c r="DN163" i="8"/>
  <c r="DM163" i="8"/>
  <c r="DL163" i="8"/>
  <c r="DJ163" i="8"/>
  <c r="DK163" i="8"/>
  <c r="EB217" i="8"/>
  <c r="EC217" i="8" s="1"/>
  <c r="EF217" i="8" s="1"/>
  <c r="AO410" i="8"/>
  <c r="AO417" i="8" s="1"/>
  <c r="J449" i="8"/>
  <c r="J463" i="8" s="1"/>
  <c r="EB275" i="8"/>
  <c r="BL410" i="8"/>
  <c r="BL417" i="8" s="1"/>
  <c r="DW180" i="8"/>
  <c r="DZ232" i="8"/>
  <c r="DJ189" i="8"/>
  <c r="DE193" i="8"/>
  <c r="DK189" i="8"/>
  <c r="DK193" i="8"/>
  <c r="DL189" i="8"/>
  <c r="DJ193" i="8"/>
  <c r="DF193" i="8"/>
  <c r="DD189" i="8"/>
  <c r="DP192" i="8"/>
  <c r="DL192" i="8"/>
  <c r="DH192" i="8"/>
  <c r="DI192" i="8"/>
  <c r="DO192" i="8"/>
  <c r="DO384" i="8" s="1"/>
  <c r="DO406" i="8" s="1"/>
  <c r="DK192" i="8"/>
  <c r="DM192" i="8"/>
  <c r="DN192" i="8"/>
  <c r="DJ192" i="8"/>
  <c r="EG217" i="8"/>
  <c r="EC334" i="8"/>
  <c r="EF334" i="8" s="1"/>
  <c r="EB157" i="8"/>
  <c r="EC157" i="8" s="1"/>
  <c r="EF157" i="8" s="1"/>
  <c r="EC142" i="8"/>
  <c r="EF142" i="8" s="1"/>
  <c r="EB190" i="8"/>
  <c r="EE190" i="8" s="1"/>
  <c r="ED334" i="8"/>
  <c r="CP11" i="8"/>
  <c r="K410" i="8"/>
  <c r="EJ343" i="8"/>
  <c r="N470" i="8"/>
  <c r="BN407" i="8"/>
  <c r="EJ355" i="8"/>
  <c r="EI94" i="8"/>
  <c r="EJ94" i="8" s="1"/>
  <c r="BB410" i="8"/>
  <c r="BB417" i="8" s="1"/>
  <c r="DZ25" i="8"/>
  <c r="EC67" i="8"/>
  <c r="EF67" i="8" s="1"/>
  <c r="J452" i="8"/>
  <c r="BK410" i="8"/>
  <c r="BK417" i="8" s="1"/>
  <c r="EH97" i="8"/>
  <c r="G407" i="8"/>
  <c r="G454" i="8" s="1"/>
  <c r="G466" i="8" s="1"/>
  <c r="EH94" i="8"/>
  <c r="EH91" i="8"/>
  <c r="EH43" i="8"/>
  <c r="EJ100" i="8"/>
  <c r="AM410" i="8"/>
  <c r="AM417" i="8" s="1"/>
  <c r="AT410" i="8"/>
  <c r="AT417" i="8" s="1"/>
  <c r="AL410" i="8"/>
  <c r="AL417" i="8" s="1"/>
  <c r="O410" i="8"/>
  <c r="H452" i="8"/>
  <c r="AV410" i="8"/>
  <c r="AV417" i="8" s="1"/>
  <c r="BI410" i="8"/>
  <c r="BI417" i="8" s="1"/>
  <c r="EE154" i="8"/>
  <c r="AQ410" i="8"/>
  <c r="AQ417" i="8" s="1"/>
  <c r="N410" i="8"/>
  <c r="J410" i="8"/>
  <c r="AX410" i="8"/>
  <c r="AX417" i="8" s="1"/>
  <c r="AP410" i="8"/>
  <c r="AP417" i="8" s="1"/>
  <c r="Q410" i="8"/>
  <c r="ED151" i="8"/>
  <c r="EB151" i="8"/>
  <c r="EC151" i="8" s="1"/>
  <c r="EF151" i="8" s="1"/>
  <c r="DH147" i="8"/>
  <c r="DA384" i="8"/>
  <c r="DA406" i="8" s="1"/>
  <c r="AN410" i="8"/>
  <c r="AN417" i="8" s="1"/>
  <c r="DW178" i="8"/>
  <c r="DW175" i="8"/>
  <c r="DW172" i="8"/>
  <c r="DI189" i="8"/>
  <c r="DG189" i="8"/>
  <c r="DE189" i="8"/>
  <c r="DH189" i="8"/>
  <c r="DF189" i="8"/>
  <c r="DW205" i="8"/>
  <c r="DW144" i="8"/>
  <c r="DX142" i="8" s="1"/>
  <c r="DY142" i="8" s="1"/>
  <c r="DW219" i="8"/>
  <c r="DW136" i="8"/>
  <c r="DW153" i="8"/>
  <c r="CC410" i="8"/>
  <c r="CC417" i="8" s="1"/>
  <c r="BU410" i="8"/>
  <c r="BU417" i="8" s="1"/>
  <c r="BZ385" i="8"/>
  <c r="BS410" i="8"/>
  <c r="BS417" i="8" s="1"/>
  <c r="Z385" i="8"/>
  <c r="AK410" i="8"/>
  <c r="I454" i="8"/>
  <c r="I466" i="8" s="1"/>
  <c r="M410" i="8"/>
  <c r="CG407" i="8"/>
  <c r="CG410" i="8" s="1"/>
  <c r="CG417" i="8" s="1"/>
  <c r="EE251" i="8"/>
  <c r="EH118" i="8"/>
  <c r="EC136" i="8"/>
  <c r="EF136" i="8" s="1"/>
  <c r="CL410" i="8"/>
  <c r="CL417" i="8" s="1"/>
  <c r="EC284" i="8"/>
  <c r="EF284" i="8" s="1"/>
  <c r="DX115" i="8"/>
  <c r="DY115" i="8" s="1"/>
  <c r="DZ115" i="8" s="1"/>
  <c r="EC124" i="8"/>
  <c r="EF124" i="8" s="1"/>
  <c r="EC281" i="8"/>
  <c r="EF281" i="8" s="1"/>
  <c r="EE184" i="8"/>
  <c r="ED245" i="8"/>
  <c r="EJ346" i="8"/>
  <c r="ED163" i="8"/>
  <c r="EG163" i="8"/>
  <c r="EB163" i="8"/>
  <c r="R410" i="8"/>
  <c r="DZ346" i="8"/>
  <c r="EC245" i="8"/>
  <c r="EF245" i="8" s="1"/>
  <c r="EE245" i="8"/>
  <c r="BG410" i="8"/>
  <c r="BG417" i="8" s="1"/>
  <c r="DZ343" i="8"/>
  <c r="BH410" i="8"/>
  <c r="BH417" i="8" s="1"/>
  <c r="AJ410" i="8"/>
  <c r="AJ417" i="8" s="1"/>
  <c r="EH52" i="8"/>
  <c r="CA410" i="8"/>
  <c r="CA417" i="8" s="1"/>
  <c r="EJ321" i="8"/>
  <c r="BZ407" i="8"/>
  <c r="BZ410" i="8" s="1"/>
  <c r="BZ417" i="8" s="1"/>
  <c r="DZ220" i="8"/>
  <c r="BV410" i="8"/>
  <c r="BV417" i="8" s="1"/>
  <c r="EI115" i="8"/>
  <c r="EJ115" i="8" s="1"/>
  <c r="M453" i="8"/>
  <c r="G452" i="8"/>
  <c r="AI410" i="8"/>
  <c r="AY410" i="8"/>
  <c r="AY417" i="8" s="1"/>
  <c r="CE410" i="8"/>
  <c r="CE417" i="8" s="1"/>
  <c r="BW410" i="8"/>
  <c r="BW417" i="8" s="1"/>
  <c r="AU410" i="8"/>
  <c r="AU417" i="8" s="1"/>
  <c r="BC410" i="8"/>
  <c r="BC417" i="8" s="1"/>
  <c r="I410" i="8"/>
  <c r="J454" i="8"/>
  <c r="J466" i="8" s="1"/>
  <c r="H454" i="8"/>
  <c r="H466" i="8" s="1"/>
  <c r="H386" i="8"/>
  <c r="I386" i="8" s="1"/>
  <c r="J386" i="8" s="1"/>
  <c r="K386" i="8" s="1"/>
  <c r="L386" i="8" s="1"/>
  <c r="M386" i="8" s="1"/>
  <c r="N386" i="8" s="1"/>
  <c r="O386" i="8" s="1"/>
  <c r="P386" i="8" s="1"/>
  <c r="Q386" i="8" s="1"/>
  <c r="R386" i="8" s="1"/>
  <c r="S386" i="8" s="1"/>
  <c r="T386" i="8" s="1"/>
  <c r="U386" i="8" s="1"/>
  <c r="V386" i="8" s="1"/>
  <c r="W386" i="8" s="1"/>
  <c r="X386" i="8" s="1"/>
  <c r="Y386" i="8" s="1"/>
  <c r="K448" i="8"/>
  <c r="L452" i="8"/>
  <c r="K452" i="8"/>
  <c r="AR410" i="8"/>
  <c r="AR417" i="8" s="1"/>
  <c r="S410" i="8"/>
  <c r="BR410" i="8"/>
  <c r="BR417" i="8" s="1"/>
  <c r="EA64" i="8"/>
  <c r="EB70" i="8"/>
  <c r="ED257" i="8"/>
  <c r="DZ364" i="8"/>
  <c r="I452" i="8"/>
  <c r="CG385" i="8"/>
  <c r="EJ241" i="8"/>
  <c r="BM410" i="8"/>
  <c r="BM417" i="8" s="1"/>
  <c r="DZ315" i="8"/>
  <c r="CH410" i="8"/>
  <c r="CH417" i="8" s="1"/>
  <c r="DZ82" i="8"/>
  <c r="I448" i="8"/>
  <c r="DZ61" i="8"/>
  <c r="DM415" i="8"/>
  <c r="CI410" i="8"/>
  <c r="CI417" i="8" s="1"/>
  <c r="DJ415" i="8"/>
  <c r="DJ430" i="8" s="1"/>
  <c r="DP415" i="8"/>
  <c r="EH85" i="8"/>
  <c r="EH67" i="8"/>
  <c r="EH112" i="8"/>
  <c r="EH100" i="8"/>
  <c r="EH79" i="8"/>
  <c r="EH73" i="8"/>
  <c r="DW154" i="8"/>
  <c r="DX154" i="8" s="1"/>
  <c r="DY154" i="8" s="1"/>
  <c r="EH82" i="8"/>
  <c r="EH28" i="8"/>
  <c r="DZ58" i="8"/>
  <c r="DE430" i="8"/>
  <c r="DG415" i="8"/>
  <c r="DG430" i="8" s="1"/>
  <c r="AH148" i="3"/>
  <c r="EA275" i="8"/>
  <c r="D184" i="8"/>
  <c r="EB91" i="8"/>
  <c r="DZ223" i="8"/>
  <c r="N469" i="8"/>
  <c r="K453" i="8"/>
  <c r="R12" i="8"/>
  <c r="S12" i="8" s="1"/>
  <c r="T12" i="8" s="1"/>
  <c r="U12" i="8" s="1"/>
  <c r="V12" i="8" s="1"/>
  <c r="W12" i="8" s="1"/>
  <c r="X12" i="8" s="1"/>
  <c r="Y12" i="8" s="1"/>
  <c r="Z12" i="8" s="1"/>
  <c r="AA12" i="8" s="1"/>
  <c r="AB12" i="8" s="1"/>
  <c r="AC12" i="8" s="1"/>
  <c r="AD12" i="8" s="1"/>
  <c r="AE12" i="8" s="1"/>
  <c r="AF12" i="8" s="1"/>
  <c r="AG12" i="8" s="1"/>
  <c r="AH12" i="8" s="1"/>
  <c r="AI12" i="8" s="1"/>
  <c r="AJ12" i="8" s="1"/>
  <c r="AK12" i="8" s="1"/>
  <c r="AL12" i="8" s="1"/>
  <c r="AM12" i="8" s="1"/>
  <c r="AN12" i="8" s="1"/>
  <c r="AO12" i="8" s="1"/>
  <c r="AP12" i="8" s="1"/>
  <c r="AQ12" i="8" s="1"/>
  <c r="AR12" i="8" s="1"/>
  <c r="AS12" i="8" s="1"/>
  <c r="AT12" i="8" s="1"/>
  <c r="AU12" i="8" s="1"/>
  <c r="AV12" i="8" s="1"/>
  <c r="AW12" i="8" s="1"/>
  <c r="AX12" i="8" s="1"/>
  <c r="AY12" i="8" s="1"/>
  <c r="AZ12" i="8" s="1"/>
  <c r="BA12" i="8" s="1"/>
  <c r="BB12" i="8" s="1"/>
  <c r="BC12" i="8" s="1"/>
  <c r="BD12" i="8" s="1"/>
  <c r="BE12" i="8" s="1"/>
  <c r="BF12" i="8" s="1"/>
  <c r="BG12" i="8" s="1"/>
  <c r="BH12" i="8" s="1"/>
  <c r="BI12" i="8" s="1"/>
  <c r="BJ12" i="8" s="1"/>
  <c r="BK12" i="8" s="1"/>
  <c r="BL12" i="8" s="1"/>
  <c r="BM12" i="8" s="1"/>
  <c r="BN12" i="8" s="1"/>
  <c r="BO12" i="8" s="1"/>
  <c r="BP12" i="8" s="1"/>
  <c r="BQ12" i="8" s="1"/>
  <c r="BR12" i="8" s="1"/>
  <c r="BS12" i="8" s="1"/>
  <c r="BT12" i="8" s="1"/>
  <c r="BU12" i="8" s="1"/>
  <c r="BV12" i="8" s="1"/>
  <c r="BW12" i="8" s="1"/>
  <c r="BX12" i="8" s="1"/>
  <c r="BY12" i="8" s="1"/>
  <c r="BZ12" i="8" s="1"/>
  <c r="CA12" i="8" s="1"/>
  <c r="CB12" i="8" s="1"/>
  <c r="CC12" i="8" s="1"/>
  <c r="CD12" i="8" s="1"/>
  <c r="CE12" i="8" s="1"/>
  <c r="CF12" i="8" s="1"/>
  <c r="CG12" i="8" s="1"/>
  <c r="CH12" i="8" s="1"/>
  <c r="CI12" i="8" s="1"/>
  <c r="CJ12" i="8" s="1"/>
  <c r="CK12" i="8" s="1"/>
  <c r="CL12" i="8" s="1"/>
  <c r="CM12" i="8" s="1"/>
  <c r="CN12" i="8" s="1"/>
  <c r="CO12" i="8" s="1"/>
  <c r="CP12" i="8" s="1"/>
  <c r="CQ12" i="8" s="1"/>
  <c r="CR12" i="8" s="1"/>
  <c r="CS12" i="8" s="1"/>
  <c r="CT12" i="8" s="1"/>
  <c r="CU12" i="8" s="1"/>
  <c r="CV12" i="8" s="1"/>
  <c r="CW12" i="8" s="1"/>
  <c r="CK410" i="8"/>
  <c r="CK417" i="8" s="1"/>
  <c r="M452" i="8"/>
  <c r="BN385" i="8"/>
  <c r="CP382" i="8"/>
  <c r="CP385" i="8" s="1"/>
  <c r="EB272" i="8"/>
  <c r="DZ235" i="8"/>
  <c r="EH46" i="8"/>
  <c r="DZ46" i="8"/>
  <c r="EJ337" i="8"/>
  <c r="EJ373" i="8"/>
  <c r="EJ361" i="8"/>
  <c r="DZ373" i="8"/>
  <c r="DZ361" i="8"/>
  <c r="DW127" i="8"/>
  <c r="EI127" i="8" s="1"/>
  <c r="EJ127" i="8" s="1"/>
  <c r="DZ337" i="8"/>
  <c r="EJ349" i="8"/>
  <c r="DZ349" i="8"/>
  <c r="DZ367" i="8"/>
  <c r="EJ367" i="8"/>
  <c r="EB193" i="8"/>
  <c r="EC193" i="8" s="1"/>
  <c r="EF193" i="8" s="1"/>
  <c r="EJ352" i="8"/>
  <c r="EG145" i="8"/>
  <c r="EE379" i="8"/>
  <c r="EC379" i="8"/>
  <c r="EF379" i="8" s="1"/>
  <c r="EB145" i="8"/>
  <c r="EC145" i="8" s="1"/>
  <c r="EF145" i="8" s="1"/>
  <c r="EE309" i="8"/>
  <c r="EC309" i="8"/>
  <c r="EF309" i="8" s="1"/>
  <c r="EJ297" i="8"/>
  <c r="DZ297" i="8"/>
  <c r="EB196" i="8"/>
  <c r="ED196" i="8"/>
  <c r="EJ306" i="8"/>
  <c r="DZ306" i="8"/>
  <c r="EJ300" i="8"/>
  <c r="DZ300" i="8"/>
  <c r="DZ321" i="8"/>
  <c r="DZ106" i="8"/>
  <c r="EJ106" i="8"/>
  <c r="CX384" i="8"/>
  <c r="CX406" i="8" s="1"/>
  <c r="EB331" i="8"/>
  <c r="EC331" i="8" s="1"/>
  <c r="EF331" i="8" s="1"/>
  <c r="ED331" i="8"/>
  <c r="EJ364" i="8"/>
  <c r="EE306" i="8"/>
  <c r="EC306" i="8"/>
  <c r="EF306" i="8" s="1"/>
  <c r="EG139" i="8"/>
  <c r="ED139" i="8"/>
  <c r="EJ318" i="8"/>
  <c r="DZ318" i="8"/>
  <c r="EE106" i="8"/>
  <c r="EC106" i="8"/>
  <c r="EF106" i="8" s="1"/>
  <c r="DZ309" i="8"/>
  <c r="CS382" i="8"/>
  <c r="CS405" i="8" s="1"/>
  <c r="CR382" i="8"/>
  <c r="CR405" i="8" s="1"/>
  <c r="DZ312" i="8"/>
  <c r="EJ109" i="8"/>
  <c r="EJ303" i="8"/>
  <c r="DZ303" i="8"/>
  <c r="EJ324" i="8"/>
  <c r="DZ324" i="8"/>
  <c r="DZ100" i="8"/>
  <c r="EJ79" i="8"/>
  <c r="DZ328" i="8"/>
  <c r="EJ328" i="8"/>
  <c r="EJ82" i="8"/>
  <c r="EJ340" i="8"/>
  <c r="EJ315" i="8"/>
  <c r="DW216" i="8"/>
  <c r="EB121" i="8"/>
  <c r="ED121" i="8"/>
  <c r="EB199" i="8"/>
  <c r="EC199" i="8" s="1"/>
  <c r="EF199" i="8" s="1"/>
  <c r="EG121" i="8"/>
  <c r="EB139" i="8"/>
  <c r="ED187" i="8"/>
  <c r="CX382" i="8"/>
  <c r="CX405" i="8" s="1"/>
  <c r="EJ294" i="8"/>
  <c r="DZ294" i="8"/>
  <c r="DZ103" i="8"/>
  <c r="EJ103" i="8"/>
  <c r="EE318" i="8"/>
  <c r="EC318" i="8"/>
  <c r="EF318" i="8" s="1"/>
  <c r="ED373" i="8"/>
  <c r="EB373" i="8"/>
  <c r="EE373" i="8" s="1"/>
  <c r="EG115" i="8"/>
  <c r="EB115" i="8"/>
  <c r="EC115" i="8" s="1"/>
  <c r="EF115" i="8" s="1"/>
  <c r="EB328" i="8"/>
  <c r="ED328" i="8"/>
  <c r="EJ312" i="8"/>
  <c r="BN410" i="8"/>
  <c r="BN417" i="8" s="1"/>
  <c r="K454" i="8"/>
  <c r="K466" i="8" s="1"/>
  <c r="D39" i="71"/>
  <c r="F34" i="71"/>
  <c r="D35" i="73"/>
  <c r="F30" i="73"/>
  <c r="D36" i="73"/>
  <c r="M69" i="3"/>
  <c r="EB257" i="8"/>
  <c r="D331" i="8"/>
  <c r="D199" i="8"/>
  <c r="EB64" i="8"/>
  <c r="K462" i="8"/>
  <c r="I427" i="8"/>
  <c r="H429" i="8"/>
  <c r="H414" i="8" s="1"/>
  <c r="DW214" i="8"/>
  <c r="DX166" i="8"/>
  <c r="DY166" i="8" s="1"/>
  <c r="DW148" i="8"/>
  <c r="I462" i="8"/>
  <c r="I464" i="8" s="1"/>
  <c r="J462" i="8"/>
  <c r="G463" i="8"/>
  <c r="DW202" i="8"/>
  <c r="EE100" i="8"/>
  <c r="EC100" i="8"/>
  <c r="EF100" i="8" s="1"/>
  <c r="EE79" i="8"/>
  <c r="EC79" i="8"/>
  <c r="EF79" i="8" s="1"/>
  <c r="EH76" i="8"/>
  <c r="DZ76" i="8"/>
  <c r="DZ73" i="8"/>
  <c r="EH55" i="8"/>
  <c r="DZ55" i="8"/>
  <c r="BY385" i="8"/>
  <c r="EC349" i="8"/>
  <c r="EF349" i="8" s="1"/>
  <c r="EE349" i="8"/>
  <c r="DW207" i="8"/>
  <c r="EE187" i="8"/>
  <c r="EC187" i="8"/>
  <c r="EF187" i="8" s="1"/>
  <c r="DZ241" i="8"/>
  <c r="EH241" i="8"/>
  <c r="DZ229" i="8"/>
  <c r="EH229" i="8"/>
  <c r="CT382" i="8"/>
  <c r="CT405" i="8" s="1"/>
  <c r="DZ85" i="8"/>
  <c r="D40" i="71"/>
  <c r="G18" i="71"/>
  <c r="E18" i="71"/>
  <c r="DD414" i="8" s="1"/>
  <c r="DD429" i="8" s="1"/>
  <c r="G18" i="73"/>
  <c r="E18" i="73"/>
  <c r="AH149" i="3"/>
  <c r="EA278" i="8"/>
  <c r="AD105" i="3"/>
  <c r="Z105" i="3" s="1"/>
  <c r="X105" i="3" s="1"/>
  <c r="EA103" i="8"/>
  <c r="AC57" i="3"/>
  <c r="EA260" i="8"/>
  <c r="L140" i="3"/>
  <c r="D251" i="8"/>
  <c r="AD101" i="3"/>
  <c r="Z101" i="3" s="1"/>
  <c r="X101" i="3" s="1"/>
  <c r="EA76" i="8"/>
  <c r="G462" i="8"/>
  <c r="G450" i="8"/>
  <c r="DW169" i="8"/>
  <c r="DX169" i="8" s="1"/>
  <c r="DY169" i="8" s="1"/>
  <c r="DZ169" i="8" s="1"/>
  <c r="M470" i="8"/>
  <c r="M462" i="8"/>
  <c r="M464" i="8" s="1"/>
  <c r="M450" i="8"/>
  <c r="BY410" i="8"/>
  <c r="BY417" i="8" s="1"/>
  <c r="H462" i="8"/>
  <c r="L448" i="8"/>
  <c r="L453" i="8"/>
  <c r="M469" i="8"/>
  <c r="EC376" i="8"/>
  <c r="EF376" i="8" s="1"/>
  <c r="EE376" i="8"/>
  <c r="DZ238" i="8"/>
  <c r="DZ226" i="8"/>
  <c r="EI124" i="8"/>
  <c r="EJ124" i="8" s="1"/>
  <c r="DX124" i="8"/>
  <c r="DY124" i="8" s="1"/>
  <c r="DZ109" i="8"/>
  <c r="EH109" i="8"/>
  <c r="DZ70" i="8"/>
  <c r="EH70" i="8"/>
  <c r="EC337" i="8"/>
  <c r="EF337" i="8" s="1"/>
  <c r="EE337" i="8"/>
  <c r="EE321" i="8"/>
  <c r="EC321" i="8"/>
  <c r="EF321" i="8" s="1"/>
  <c r="EI121" i="8"/>
  <c r="EJ121" i="8" s="1"/>
  <c r="DX121" i="8"/>
  <c r="DY121" i="8" s="1"/>
  <c r="DZ67" i="8"/>
  <c r="DZ40" i="8"/>
  <c r="EH40" i="8"/>
  <c r="DZ37" i="8"/>
  <c r="EH37" i="8"/>
  <c r="DZ34" i="8"/>
  <c r="EH34" i="8"/>
  <c r="EC303" i="8"/>
  <c r="EF303" i="8" s="1"/>
  <c r="EE303" i="8"/>
  <c r="EC297" i="8"/>
  <c r="EF297" i="8" s="1"/>
  <c r="EE297" i="8"/>
  <c r="EC82" i="8"/>
  <c r="EF82" i="8" s="1"/>
  <c r="EE82" i="8"/>
  <c r="EB205" i="8"/>
  <c r="ED205" i="8"/>
  <c r="CR384" i="8"/>
  <c r="EC300" i="8"/>
  <c r="EF300" i="8" s="1"/>
  <c r="EE300" i="8"/>
  <c r="EC294" i="8"/>
  <c r="EF294" i="8" s="1"/>
  <c r="EE294" i="8"/>
  <c r="CU382" i="8"/>
  <c r="DW130" i="8"/>
  <c r="DW217" i="8"/>
  <c r="EC315" i="8"/>
  <c r="EF315" i="8" s="1"/>
  <c r="EE315" i="8"/>
  <c r="DM384" i="8" l="1"/>
  <c r="DM406" i="8" s="1"/>
  <c r="DP384" i="8"/>
  <c r="DP406" i="8" s="1"/>
  <c r="G410" i="8"/>
  <c r="G417" i="8" s="1"/>
  <c r="G420" i="8" s="1"/>
  <c r="I450" i="8"/>
  <c r="H417" i="8"/>
  <c r="DH384" i="8"/>
  <c r="DH406" i="8" s="1"/>
  <c r="DL384" i="8"/>
  <c r="DL406" i="8" s="1"/>
  <c r="DK384" i="8"/>
  <c r="DK406" i="8" s="1"/>
  <c r="H464" i="8"/>
  <c r="H450" i="8"/>
  <c r="J464" i="8"/>
  <c r="F463" i="8"/>
  <c r="Q449" i="8"/>
  <c r="J450" i="8"/>
  <c r="K464" i="8"/>
  <c r="EE217" i="8"/>
  <c r="DJ384" i="8"/>
  <c r="DJ406" i="8" s="1"/>
  <c r="DX202" i="8"/>
  <c r="DY202" i="8" s="1"/>
  <c r="K450" i="8"/>
  <c r="F468" i="8"/>
  <c r="Q456" i="8"/>
  <c r="DW163" i="8"/>
  <c r="EE157" i="8"/>
  <c r="DW189" i="8"/>
  <c r="DE384" i="8"/>
  <c r="DE406" i="8" s="1"/>
  <c r="DW192" i="8"/>
  <c r="DF384" i="8"/>
  <c r="DF406" i="8" s="1"/>
  <c r="EC190" i="8"/>
  <c r="EF190" i="8" s="1"/>
  <c r="Z386" i="8"/>
  <c r="AA386" i="8" s="1"/>
  <c r="AB386" i="8" s="1"/>
  <c r="AC386" i="8" s="1"/>
  <c r="AD386" i="8" s="1"/>
  <c r="EE151" i="8"/>
  <c r="EE145" i="8"/>
  <c r="EI142" i="8"/>
  <c r="EJ142" i="8" s="1"/>
  <c r="DM382" i="8"/>
  <c r="DM385" i="8" s="1"/>
  <c r="DK199" i="8"/>
  <c r="DI199" i="8"/>
  <c r="DG199" i="8"/>
  <c r="DE199" i="8"/>
  <c r="DE382" i="8" s="1"/>
  <c r="DL199" i="8"/>
  <c r="DJ199" i="8"/>
  <c r="DH199" i="8"/>
  <c r="DF199" i="8"/>
  <c r="DB384" i="8"/>
  <c r="DB406" i="8" s="1"/>
  <c r="DW187" i="8"/>
  <c r="DX172" i="8"/>
  <c r="DY172" i="8" s="1"/>
  <c r="DZ172" i="8" s="1"/>
  <c r="EI172" i="8"/>
  <c r="EJ172" i="8" s="1"/>
  <c r="DX175" i="8"/>
  <c r="DY175" i="8" s="1"/>
  <c r="DZ175" i="8" s="1"/>
  <c r="EI175" i="8"/>
  <c r="EJ175" i="8" s="1"/>
  <c r="DW181" i="8"/>
  <c r="DW190" i="8"/>
  <c r="DD382" i="8"/>
  <c r="DW193" i="8"/>
  <c r="DX178" i="8"/>
  <c r="DY178" i="8" s="1"/>
  <c r="DZ178" i="8" s="1"/>
  <c r="EI178" i="8"/>
  <c r="EJ178" i="8" s="1"/>
  <c r="L454" i="8"/>
  <c r="L466" i="8" s="1"/>
  <c r="DW139" i="8"/>
  <c r="CZ384" i="8"/>
  <c r="CZ406" i="8" s="1"/>
  <c r="DW159" i="8"/>
  <c r="DC384" i="8"/>
  <c r="DC406" i="8" s="1"/>
  <c r="DD384" i="8"/>
  <c r="DD406" i="8" s="1"/>
  <c r="EI154" i="8"/>
  <c r="EJ154" i="8" s="1"/>
  <c r="EH115" i="8"/>
  <c r="M454" i="8"/>
  <c r="M466" i="8" s="1"/>
  <c r="EC163" i="8"/>
  <c r="EF163" i="8" s="1"/>
  <c r="EE163" i="8"/>
  <c r="P458" i="8"/>
  <c r="CP405" i="8"/>
  <c r="CP407" i="8" s="1"/>
  <c r="CP410" i="8" s="1"/>
  <c r="CP417" i="8" s="1"/>
  <c r="EE70" i="8"/>
  <c r="EC70" i="8"/>
  <c r="EF70" i="8" s="1"/>
  <c r="EG64" i="8"/>
  <c r="ED64" i="8"/>
  <c r="DW135" i="8"/>
  <c r="CO384" i="8"/>
  <c r="CO406" i="8" s="1"/>
  <c r="CQ382" i="8"/>
  <c r="CQ384" i="8"/>
  <c r="CQ406" i="8" s="1"/>
  <c r="DZ154" i="8"/>
  <c r="DZ166" i="8"/>
  <c r="EE272" i="8"/>
  <c r="EC272" i="8"/>
  <c r="EF272" i="8" s="1"/>
  <c r="EE91" i="8"/>
  <c r="EC91" i="8"/>
  <c r="EF91" i="8" s="1"/>
  <c r="ED275" i="8"/>
  <c r="EG275" i="8"/>
  <c r="AD148" i="3"/>
  <c r="Z148" i="3" s="1"/>
  <c r="EA358" i="8"/>
  <c r="DO382" i="8"/>
  <c r="DO385" i="8" s="1"/>
  <c r="EE193" i="8"/>
  <c r="DX127" i="8"/>
  <c r="DY127" i="8" s="1"/>
  <c r="DZ127" i="8" s="1"/>
  <c r="DR382" i="8"/>
  <c r="DR405" i="8" s="1"/>
  <c r="DR407" i="8" s="1"/>
  <c r="DR410" i="8" s="1"/>
  <c r="DR417" i="8" s="1"/>
  <c r="CS384" i="8"/>
  <c r="CS406" i="8" s="1"/>
  <c r="CS407" i="8" s="1"/>
  <c r="CS410" i="8" s="1"/>
  <c r="CS417" i="8" s="1"/>
  <c r="DS382" i="8"/>
  <c r="DT382" i="8"/>
  <c r="DT405" i="8" s="1"/>
  <c r="DT407" i="8" s="1"/>
  <c r="DT410" i="8" s="1"/>
  <c r="DT417" i="8" s="1"/>
  <c r="DQ382" i="8"/>
  <c r="DQ385" i="8" s="1"/>
  <c r="CZ382" i="8"/>
  <c r="CZ405" i="8" s="1"/>
  <c r="CX407" i="8"/>
  <c r="CT384" i="8"/>
  <c r="CT385" i="8" s="1"/>
  <c r="EE199" i="8"/>
  <c r="EE331" i="8"/>
  <c r="CU384" i="8"/>
  <c r="CU406" i="8" s="1"/>
  <c r="EC196" i="8"/>
  <c r="EF196" i="8" s="1"/>
  <c r="EE196" i="8"/>
  <c r="CW384" i="8"/>
  <c r="DW147" i="8"/>
  <c r="CR385" i="8"/>
  <c r="EC373" i="8"/>
  <c r="EF373" i="8" s="1"/>
  <c r="DW133" i="8"/>
  <c r="CO382" i="8"/>
  <c r="EE115" i="8"/>
  <c r="DW141" i="8"/>
  <c r="DW157" i="8"/>
  <c r="EH142" i="8"/>
  <c r="DZ142" i="8"/>
  <c r="EC121" i="8"/>
  <c r="EF121" i="8" s="1"/>
  <c r="EE121" i="8"/>
  <c r="EE139" i="8"/>
  <c r="EC139" i="8"/>
  <c r="EF139" i="8" s="1"/>
  <c r="CX385" i="8"/>
  <c r="DW211" i="8"/>
  <c r="DX211" i="8" s="1"/>
  <c r="DY211" i="8" s="1"/>
  <c r="CV384" i="8"/>
  <c r="CV406" i="8" s="1"/>
  <c r="EC328" i="8"/>
  <c r="EF328" i="8" s="1"/>
  <c r="EE328" i="8"/>
  <c r="L450" i="8"/>
  <c r="L462" i="8"/>
  <c r="L464" i="8" s="1"/>
  <c r="G464" i="8"/>
  <c r="EB260" i="8"/>
  <c r="EA263" i="8"/>
  <c r="EB103" i="8"/>
  <c r="EG103" i="8"/>
  <c r="ED103" i="8"/>
  <c r="EB278" i="8"/>
  <c r="G19" i="73"/>
  <c r="E19" i="73"/>
  <c r="G19" i="71"/>
  <c r="E19" i="71"/>
  <c r="DG414" i="8" s="1"/>
  <c r="DG429" i="8" s="1"/>
  <c r="EE257" i="8"/>
  <c r="EC257" i="8"/>
  <c r="EF257" i="8" s="1"/>
  <c r="D37" i="73"/>
  <c r="DP382" i="8"/>
  <c r="EH121" i="8"/>
  <c r="DZ121" i="8"/>
  <c r="EH124" i="8"/>
  <c r="DZ124" i="8"/>
  <c r="ED76" i="8"/>
  <c r="EB76" i="8"/>
  <c r="EG76" i="8"/>
  <c r="EJ251" i="8"/>
  <c r="DZ251" i="8"/>
  <c r="D334" i="8"/>
  <c r="L156" i="3"/>
  <c r="ED260" i="8"/>
  <c r="EG260" i="8"/>
  <c r="ED278" i="8"/>
  <c r="EG278" i="8"/>
  <c r="AD149" i="3"/>
  <c r="Z149" i="3" s="1"/>
  <c r="EA361" i="8"/>
  <c r="C35" i="73"/>
  <c r="E35" i="73" s="1"/>
  <c r="D18" i="73"/>
  <c r="D18" i="71"/>
  <c r="EI205" i="8"/>
  <c r="EJ205" i="8" s="1"/>
  <c r="DX205" i="8"/>
  <c r="DY205" i="8" s="1"/>
  <c r="EI202" i="8"/>
  <c r="EJ202" i="8" s="1"/>
  <c r="G423" i="8"/>
  <c r="H419" i="8"/>
  <c r="H420" i="8" s="1"/>
  <c r="DX148" i="8"/>
  <c r="DY148" i="8" s="1"/>
  <c r="EI148" i="8"/>
  <c r="EJ148" i="8" s="1"/>
  <c r="EI214" i="8"/>
  <c r="EJ214" i="8" s="1"/>
  <c r="DX214" i="8"/>
  <c r="DY214" i="8" s="1"/>
  <c r="I429" i="8"/>
  <c r="I414" i="8" s="1"/>
  <c r="I417" i="8" s="1"/>
  <c r="J427" i="8"/>
  <c r="EE64" i="8"/>
  <c r="EC64" i="8"/>
  <c r="EF64" i="8" s="1"/>
  <c r="EJ331" i="8"/>
  <c r="DZ331" i="8"/>
  <c r="EE275" i="8"/>
  <c r="EC275" i="8"/>
  <c r="EF275" i="8" s="1"/>
  <c r="DB430" i="8"/>
  <c r="DW415" i="8"/>
  <c r="O458" i="8"/>
  <c r="D41" i="71"/>
  <c r="EE205" i="8"/>
  <c r="EC205" i="8"/>
  <c r="EF205" i="8" s="1"/>
  <c r="DW138" i="8"/>
  <c r="DX130" i="8"/>
  <c r="DY130" i="8" s="1"/>
  <c r="EI130" i="8"/>
  <c r="EJ130" i="8" s="1"/>
  <c r="CU405" i="8"/>
  <c r="CR406" i="8"/>
  <c r="DX217" i="8"/>
  <c r="DY217" i="8" s="1"/>
  <c r="EI217" i="8"/>
  <c r="EJ217" i="8" s="1"/>
  <c r="DD405" i="8" l="1"/>
  <c r="DD385" i="8"/>
  <c r="AE386" i="8"/>
  <c r="AF386" i="8" s="1"/>
  <c r="AG386" i="8" s="1"/>
  <c r="AH386" i="8" s="1"/>
  <c r="AI386" i="8" s="1"/>
  <c r="AJ386" i="8" s="1"/>
  <c r="AK386" i="8" s="1"/>
  <c r="AL386" i="8" s="1"/>
  <c r="AM386" i="8" s="1"/>
  <c r="AN386" i="8" s="1"/>
  <c r="AO386" i="8" s="1"/>
  <c r="AP386" i="8" s="1"/>
  <c r="DM405" i="8"/>
  <c r="DM407" i="8" s="1"/>
  <c r="DM410" i="8" s="1"/>
  <c r="DI382" i="8"/>
  <c r="DI405" i="8" s="1"/>
  <c r="DK382" i="8"/>
  <c r="DK385" i="8" s="1"/>
  <c r="DL382" i="8"/>
  <c r="EI163" i="8"/>
  <c r="EJ163" i="8" s="1"/>
  <c r="DX163" i="8"/>
  <c r="DY163" i="8" s="1"/>
  <c r="DG382" i="8"/>
  <c r="DG405" i="8" s="1"/>
  <c r="DF382" i="8"/>
  <c r="DF385" i="8" s="1"/>
  <c r="DJ382" i="8"/>
  <c r="DJ385" i="8" s="1"/>
  <c r="DX157" i="8"/>
  <c r="DY157" i="8" s="1"/>
  <c r="DZ157" i="8" s="1"/>
  <c r="DX139" i="8"/>
  <c r="DY139" i="8" s="1"/>
  <c r="EH139" i="8" s="1"/>
  <c r="Q458" i="8"/>
  <c r="S458" i="8" s="1"/>
  <c r="EI193" i="8"/>
  <c r="EJ193" i="8" s="1"/>
  <c r="DX193" i="8"/>
  <c r="EG193" i="8" s="1"/>
  <c r="DX187" i="8"/>
  <c r="DY187" i="8" s="1"/>
  <c r="DZ187" i="8" s="1"/>
  <c r="EI187" i="8"/>
  <c r="EJ187" i="8" s="1"/>
  <c r="DW184" i="8"/>
  <c r="DB382" i="8"/>
  <c r="EI190" i="8"/>
  <c r="EJ190" i="8" s="1"/>
  <c r="DX190" i="8"/>
  <c r="DW199" i="8"/>
  <c r="CZ407" i="8"/>
  <c r="DD407" i="8"/>
  <c r="DD410" i="8" s="1"/>
  <c r="DD417" i="8" s="1"/>
  <c r="DO405" i="8"/>
  <c r="DO407" i="8" s="1"/>
  <c r="DO410" i="8" s="1"/>
  <c r="DO417" i="8" s="1"/>
  <c r="DQ405" i="8"/>
  <c r="DQ407" i="8" s="1"/>
  <c r="DQ410" i="8" s="1"/>
  <c r="DT385" i="8"/>
  <c r="CU385" i="8"/>
  <c r="CU407" i="8"/>
  <c r="CU410" i="8" s="1"/>
  <c r="CU417" i="8" s="1"/>
  <c r="CS385" i="8"/>
  <c r="CQ385" i="8"/>
  <c r="CQ405" i="8"/>
  <c r="CQ407" i="8" s="1"/>
  <c r="CQ410" i="8" s="1"/>
  <c r="CQ417" i="8" s="1"/>
  <c r="DX133" i="8"/>
  <c r="DY133" i="8" s="1"/>
  <c r="DZ133" i="8" s="1"/>
  <c r="CO405" i="8"/>
  <c r="CO407" i="8" s="1"/>
  <c r="DZ202" i="8"/>
  <c r="DZ205" i="8"/>
  <c r="F462" i="8"/>
  <c r="EB358" i="8"/>
  <c r="ED358" i="8"/>
  <c r="CO385" i="8"/>
  <c r="CT406" i="8"/>
  <c r="CT407" i="8" s="1"/>
  <c r="CT410" i="8" s="1"/>
  <c r="CT417" i="8" s="1"/>
  <c r="EH127" i="8"/>
  <c r="EI139" i="8"/>
  <c r="EJ139" i="8" s="1"/>
  <c r="CZ385" i="8"/>
  <c r="DS385" i="8"/>
  <c r="DS405" i="8"/>
  <c r="DS407" i="8" s="1"/>
  <c r="DS410" i="8" s="1"/>
  <c r="CW406" i="8"/>
  <c r="EI157" i="8"/>
  <c r="EJ157" i="8" s="1"/>
  <c r="DR385" i="8"/>
  <c r="DZ211" i="8"/>
  <c r="DP385" i="8"/>
  <c r="DP405" i="8"/>
  <c r="DP407" i="8" s="1"/>
  <c r="DP410" i="8" s="1"/>
  <c r="DW208" i="8"/>
  <c r="DX208" i="8" s="1"/>
  <c r="DY208" i="8" s="1"/>
  <c r="H423" i="8"/>
  <c r="I419" i="8"/>
  <c r="I420" i="8" s="1"/>
  <c r="EH148" i="8"/>
  <c r="DZ148" i="8"/>
  <c r="DB429" i="8"/>
  <c r="EB361" i="8"/>
  <c r="ED361" i="8"/>
  <c r="EJ334" i="8"/>
  <c r="DZ334" i="8"/>
  <c r="EE76" i="8"/>
  <c r="EC76" i="8"/>
  <c r="EF76" i="8" s="1"/>
  <c r="G20" i="71"/>
  <c r="E20" i="71"/>
  <c r="DJ414" i="8" s="1"/>
  <c r="DJ429" i="8" s="1"/>
  <c r="G20" i="73"/>
  <c r="E20" i="73"/>
  <c r="EC278" i="8"/>
  <c r="EF278" i="8" s="1"/>
  <c r="EE278" i="8"/>
  <c r="EC103" i="8"/>
  <c r="EF103" i="8" s="1"/>
  <c r="EE103" i="8"/>
  <c r="EB263" i="8"/>
  <c r="J429" i="8"/>
  <c r="J414" i="8" s="1"/>
  <c r="J417" i="8" s="1"/>
  <c r="K427" i="8"/>
  <c r="EH214" i="8"/>
  <c r="DZ214" i="8"/>
  <c r="L158" i="3"/>
  <c r="N69" i="3"/>
  <c r="D19" i="71"/>
  <c r="DE429" i="8"/>
  <c r="D19" i="73"/>
  <c r="ED263" i="8"/>
  <c r="EG263" i="8"/>
  <c r="EE260" i="8"/>
  <c r="EC260" i="8"/>
  <c r="EF260" i="8" s="1"/>
  <c r="CR407" i="8"/>
  <c r="CR410" i="8" s="1"/>
  <c r="CR417" i="8" s="1"/>
  <c r="EH217" i="8"/>
  <c r="DZ217" i="8"/>
  <c r="EH130" i="8"/>
  <c r="DZ130" i="8"/>
  <c r="EI136" i="8"/>
  <c r="EJ136" i="8" s="1"/>
  <c r="DX136" i="8"/>
  <c r="DY136" i="8" s="1"/>
  <c r="AQ386" i="8" l="1"/>
  <c r="AR386" i="8" s="1"/>
  <c r="AS386" i="8" s="1"/>
  <c r="AT386" i="8" s="1"/>
  <c r="AU386" i="8" s="1"/>
  <c r="AV386" i="8" s="1"/>
  <c r="AW386" i="8" s="1"/>
  <c r="AX386" i="8" s="1"/>
  <c r="AY386" i="8" s="1"/>
  <c r="AZ386" i="8" s="1"/>
  <c r="BA386" i="8" s="1"/>
  <c r="BB386" i="8" s="1"/>
  <c r="BC386" i="8" s="1"/>
  <c r="BD386" i="8" s="1"/>
  <c r="BE386" i="8" s="1"/>
  <c r="BF386" i="8" s="1"/>
  <c r="BG386" i="8" s="1"/>
  <c r="BH386" i="8" s="1"/>
  <c r="BI386" i="8" s="1"/>
  <c r="BJ386" i="8" s="1"/>
  <c r="BK386" i="8" s="1"/>
  <c r="BL386" i="8" s="1"/>
  <c r="BM386" i="8" s="1"/>
  <c r="BN386" i="8" s="1"/>
  <c r="BO386" i="8" s="1"/>
  <c r="BP386" i="8" s="1"/>
  <c r="BQ386" i="8" s="1"/>
  <c r="BR386" i="8" s="1"/>
  <c r="BS386" i="8" s="1"/>
  <c r="BT386" i="8" s="1"/>
  <c r="BU386" i="8" s="1"/>
  <c r="BV386" i="8" s="1"/>
  <c r="BW386" i="8" s="1"/>
  <c r="BX386" i="8" s="1"/>
  <c r="BY386" i="8" s="1"/>
  <c r="BZ386" i="8" s="1"/>
  <c r="DK405" i="8"/>
  <c r="DK407" i="8" s="1"/>
  <c r="DK410" i="8" s="1"/>
  <c r="EH163" i="8"/>
  <c r="DZ163" i="8"/>
  <c r="DF405" i="8"/>
  <c r="DF407" i="8" s="1"/>
  <c r="DF410" i="8" s="1"/>
  <c r="DF417" i="8" s="1"/>
  <c r="DJ405" i="8"/>
  <c r="DJ407" i="8" s="1"/>
  <c r="DJ410" i="8" s="1"/>
  <c r="DJ417" i="8" s="1"/>
  <c r="DZ139" i="8"/>
  <c r="DX199" i="8"/>
  <c r="EG199" i="8" s="1"/>
  <c r="EI199" i="8"/>
  <c r="EJ199" i="8" s="1"/>
  <c r="DY190" i="8"/>
  <c r="DZ190" i="8" s="1"/>
  <c r="EG192" i="8"/>
  <c r="EG190" i="8"/>
  <c r="DB385" i="8"/>
  <c r="DB405" i="8"/>
  <c r="DB407" i="8" s="1"/>
  <c r="DB410" i="8" s="1"/>
  <c r="DB417" i="8" s="1"/>
  <c r="DX184" i="8"/>
  <c r="DY184" i="8" s="1"/>
  <c r="DZ184" i="8" s="1"/>
  <c r="EI184" i="8"/>
  <c r="EJ184" i="8" s="1"/>
  <c r="DY193" i="8"/>
  <c r="DZ193" i="8" s="1"/>
  <c r="EG195" i="8"/>
  <c r="CZ10" i="8"/>
  <c r="DA6" i="8"/>
  <c r="CX6" i="8"/>
  <c r="DW8" i="8"/>
  <c r="N453" i="8"/>
  <c r="EE358" i="8"/>
  <c r="EC358" i="8"/>
  <c r="EF358" i="8" s="1"/>
  <c r="DZ208" i="8"/>
  <c r="K429" i="8"/>
  <c r="K414" i="8" s="1"/>
  <c r="L427" i="8"/>
  <c r="EE263" i="8"/>
  <c r="EC263" i="8"/>
  <c r="EF263" i="8" s="1"/>
  <c r="G21" i="73"/>
  <c r="E21" i="73"/>
  <c r="G21" i="71"/>
  <c r="E21" i="71"/>
  <c r="DM414" i="8" s="1"/>
  <c r="DM417" i="8" s="1"/>
  <c r="I423" i="8"/>
  <c r="J419" i="8"/>
  <c r="J420" i="8" s="1"/>
  <c r="D20" i="73"/>
  <c r="D20" i="71"/>
  <c r="C39" i="71"/>
  <c r="EC361" i="8"/>
  <c r="EF361" i="8" s="1"/>
  <c r="EE361" i="8"/>
  <c r="DZ136" i="8"/>
  <c r="EH136" i="8"/>
  <c r="CO410" i="8"/>
  <c r="CO417" i="8" s="1"/>
  <c r="CZ402" i="8" l="1"/>
  <c r="DW10" i="8"/>
  <c r="DY14" i="8" s="1"/>
  <c r="DY199" i="8"/>
  <c r="DZ199" i="8" s="1"/>
  <c r="EG201" i="8"/>
  <c r="DA11" i="8"/>
  <c r="O448" i="8"/>
  <c r="O450" i="8" s="1"/>
  <c r="DA401" i="8"/>
  <c r="DA403" i="8" s="1"/>
  <c r="CX401" i="8"/>
  <c r="CX11" i="8"/>
  <c r="CX12" i="8" s="1"/>
  <c r="CY12" i="8" s="1"/>
  <c r="CZ12" i="8" s="1"/>
  <c r="N448" i="8"/>
  <c r="DW6" i="8"/>
  <c r="G22" i="71"/>
  <c r="E22" i="71"/>
  <c r="DP414" i="8" s="1"/>
  <c r="DP417" i="8" s="1"/>
  <c r="G22" i="73"/>
  <c r="E22" i="73"/>
  <c r="C36" i="73" s="1"/>
  <c r="M427" i="8"/>
  <c r="L429" i="8"/>
  <c r="L414" i="8" s="1"/>
  <c r="E39" i="71"/>
  <c r="CA386" i="8"/>
  <c r="CB386" i="8" s="1"/>
  <c r="CC386" i="8" s="1"/>
  <c r="CD386" i="8" s="1"/>
  <c r="CE386" i="8" s="1"/>
  <c r="CF386" i="8" s="1"/>
  <c r="CG386" i="8" s="1"/>
  <c r="CH386" i="8" s="1"/>
  <c r="CI386" i="8" s="1"/>
  <c r="CJ386" i="8" s="1"/>
  <c r="CK386" i="8" s="1"/>
  <c r="CL386" i="8" s="1"/>
  <c r="DH429" i="8"/>
  <c r="O457" i="8" s="1"/>
  <c r="J423" i="8"/>
  <c r="K419" i="8"/>
  <c r="D21" i="71"/>
  <c r="D21" i="73"/>
  <c r="K417" i="8"/>
  <c r="DA12" i="8" l="1"/>
  <c r="DB12" i="8"/>
  <c r="DC12" i="8" s="1"/>
  <c r="DD12" i="8" s="1"/>
  <c r="DE12" i="8" s="1"/>
  <c r="DF12" i="8" s="1"/>
  <c r="DG12" i="8" s="1"/>
  <c r="DH12" i="8" s="1"/>
  <c r="DI12" i="8" s="1"/>
  <c r="DJ12" i="8" s="1"/>
  <c r="DK12" i="8" s="1"/>
  <c r="DL12" i="8" s="1"/>
  <c r="DM12" i="8" s="1"/>
  <c r="DN12" i="8" s="1"/>
  <c r="DO12" i="8" s="1"/>
  <c r="DP12" i="8" s="1"/>
  <c r="DQ12" i="8" s="1"/>
  <c r="DR12" i="8" s="1"/>
  <c r="DS12" i="8" s="1"/>
  <c r="DT12" i="8" s="1"/>
  <c r="DU12" i="8" s="1"/>
  <c r="DV12" i="8" s="1"/>
  <c r="DW12" i="8" s="1"/>
  <c r="DZ14" i="8" s="1"/>
  <c r="CZ403" i="8"/>
  <c r="CZ410" i="8" s="1"/>
  <c r="CZ417" i="8" s="1"/>
  <c r="DW402" i="8"/>
  <c r="CX403" i="8"/>
  <c r="DW401" i="8"/>
  <c r="N450" i="8"/>
  <c r="Q450" i="8" s="1"/>
  <c r="N462" i="8"/>
  <c r="N464" i="8" s="1"/>
  <c r="F464" i="8" s="1"/>
  <c r="Q448" i="8"/>
  <c r="K420" i="8"/>
  <c r="K423" i="8" s="1"/>
  <c r="DK417" i="8"/>
  <c r="L417" i="8"/>
  <c r="G23" i="71"/>
  <c r="E23" i="71"/>
  <c r="DS414" i="8" s="1"/>
  <c r="DS417" i="8" s="1"/>
  <c r="E36" i="73"/>
  <c r="C37" i="73"/>
  <c r="CM386" i="8"/>
  <c r="CN386" i="8" s="1"/>
  <c r="CO386" i="8" s="1"/>
  <c r="CP386" i="8" s="1"/>
  <c r="CQ386" i="8" s="1"/>
  <c r="CR386" i="8" s="1"/>
  <c r="CS386" i="8" s="1"/>
  <c r="CT386" i="8" s="1"/>
  <c r="CU386" i="8" s="1"/>
  <c r="M429" i="8"/>
  <c r="M414" i="8" s="1"/>
  <c r="N427" i="8"/>
  <c r="D22" i="73"/>
  <c r="D30" i="73" s="1"/>
  <c r="DV414" i="8"/>
  <c r="E30" i="73"/>
  <c r="D22" i="71"/>
  <c r="DY12" i="8" l="1"/>
  <c r="DW403" i="8"/>
  <c r="CX410" i="8"/>
  <c r="CX417" i="8" s="1"/>
  <c r="L419" i="8"/>
  <c r="L420" i="8" s="1"/>
  <c r="E34" i="71"/>
  <c r="I30" i="73" s="1"/>
  <c r="I32" i="73" s="1"/>
  <c r="M417" i="8"/>
  <c r="E37" i="73"/>
  <c r="N429" i="8"/>
  <c r="N414" i="8" s="1"/>
  <c r="N417" i="8" s="1"/>
  <c r="O427" i="8"/>
  <c r="D23" i="71"/>
  <c r="D34" i="71" s="1"/>
  <c r="J32" i="71" s="1"/>
  <c r="DQ417" i="8"/>
  <c r="C40" i="71"/>
  <c r="O429" i="8" l="1"/>
  <c r="O414" i="8" s="1"/>
  <c r="O417" i="8" s="1"/>
  <c r="P427" i="8"/>
  <c r="L423" i="8"/>
  <c r="M419" i="8"/>
  <c r="M420" i="8" s="1"/>
  <c r="E40" i="71"/>
  <c r="C41" i="71"/>
  <c r="E41" i="71" s="1"/>
  <c r="P457" i="8"/>
  <c r="M423" i="8" l="1"/>
  <c r="N419" i="8"/>
  <c r="N420" i="8" s="1"/>
  <c r="Q427" i="8"/>
  <c r="P429" i="8"/>
  <c r="P414" i="8" s="1"/>
  <c r="P417" i="8" l="1"/>
  <c r="Q429" i="8"/>
  <c r="Q414" i="8" s="1"/>
  <c r="Q417" i="8" s="1"/>
  <c r="R427" i="8"/>
  <c r="N423" i="8"/>
  <c r="O419" i="8"/>
  <c r="O420" i="8" s="1"/>
  <c r="O423" i="8" l="1"/>
  <c r="P419" i="8"/>
  <c r="P420" i="8" s="1"/>
  <c r="R429" i="8"/>
  <c r="R414" i="8" s="1"/>
  <c r="R417" i="8" s="1"/>
  <c r="S427" i="8"/>
  <c r="S429" i="8" l="1"/>
  <c r="S414" i="8" s="1"/>
  <c r="T427" i="8"/>
  <c r="P423" i="8"/>
  <c r="Q419" i="8"/>
  <c r="Q420" i="8" s="1"/>
  <c r="Q423" i="8" l="1"/>
  <c r="R419" i="8"/>
  <c r="R420" i="8" s="1"/>
  <c r="S417" i="8"/>
  <c r="U427" i="8"/>
  <c r="T429" i="8"/>
  <c r="T414" i="8" s="1"/>
  <c r="T417" i="8" s="1"/>
  <c r="U429" i="8" l="1"/>
  <c r="U414" i="8" s="1"/>
  <c r="U417" i="8" s="1"/>
  <c r="V427" i="8"/>
  <c r="R423" i="8"/>
  <c r="S419" i="8"/>
  <c r="S420" i="8" s="1"/>
  <c r="S423" i="8" l="1"/>
  <c r="T419" i="8"/>
  <c r="T420" i="8" s="1"/>
  <c r="V429" i="8"/>
  <c r="V414" i="8" s="1"/>
  <c r="W427" i="8"/>
  <c r="V417" i="8" l="1"/>
  <c r="T423" i="8"/>
  <c r="U419" i="8"/>
  <c r="U420" i="8" s="1"/>
  <c r="W429" i="8"/>
  <c r="W414" i="8" s="1"/>
  <c r="W417" i="8" s="1"/>
  <c r="X427" i="8"/>
  <c r="U423" i="8" l="1"/>
  <c r="V419" i="8"/>
  <c r="V420" i="8" s="1"/>
  <c r="Y427" i="8"/>
  <c r="X429" i="8"/>
  <c r="X414" i="8" s="1"/>
  <c r="X417" i="8" s="1"/>
  <c r="V423" i="8" l="1"/>
  <c r="W419" i="8"/>
  <c r="W420" i="8" s="1"/>
  <c r="Y429" i="8"/>
  <c r="Y414" i="8" s="1"/>
  <c r="Y417" i="8" s="1"/>
  <c r="Z427" i="8"/>
  <c r="Z429" i="8" l="1"/>
  <c r="Z414" i="8" s="1"/>
  <c r="Z417" i="8" s="1"/>
  <c r="AA427" i="8"/>
  <c r="AB427" i="8" s="1"/>
  <c r="W423" i="8"/>
  <c r="X419" i="8"/>
  <c r="X420" i="8" s="1"/>
  <c r="X423" i="8" l="1"/>
  <c r="Y419" i="8"/>
  <c r="Y420" i="8" s="1"/>
  <c r="AB429" i="8"/>
  <c r="AB414" i="8" s="1"/>
  <c r="AB417" i="8" s="1"/>
  <c r="AC427" i="8"/>
  <c r="AC429" i="8" l="1"/>
  <c r="AC414" i="8" s="1"/>
  <c r="AC417" i="8" s="1"/>
  <c r="AD427" i="8"/>
  <c r="AE427" i="8" s="1"/>
  <c r="Y423" i="8"/>
  <c r="Z419" i="8"/>
  <c r="Z420" i="8" s="1"/>
  <c r="AE429" i="8" l="1"/>
  <c r="AE414" i="8" s="1"/>
  <c r="AF427" i="8"/>
  <c r="Z423" i="8"/>
  <c r="AA419" i="8"/>
  <c r="AA420" i="8" s="1"/>
  <c r="AE417" i="8" l="1"/>
  <c r="AA423" i="8"/>
  <c r="AB419" i="8"/>
  <c r="AB420" i="8" s="1"/>
  <c r="AF429" i="8"/>
  <c r="AF414" i="8" s="1"/>
  <c r="AF417" i="8" s="1"/>
  <c r="AG427" i="8"/>
  <c r="AH427" i="8" s="1"/>
  <c r="AH429" i="8" l="1"/>
  <c r="AH414" i="8" s="1"/>
  <c r="AH417" i="8" s="1"/>
  <c r="AI427" i="8"/>
  <c r="AB423" i="8"/>
  <c r="AC419" i="8"/>
  <c r="AC420" i="8" s="1"/>
  <c r="AC423" i="8" l="1"/>
  <c r="AD419" i="8"/>
  <c r="AD420" i="8" s="1"/>
  <c r="AI429" i="8"/>
  <c r="AI414" i="8" s="1"/>
  <c r="AJ427" i="8"/>
  <c r="AK427" i="8" s="1"/>
  <c r="AD423" i="8" l="1"/>
  <c r="AE419" i="8"/>
  <c r="AE420" i="8" s="1"/>
  <c r="AK429" i="8"/>
  <c r="AK414" i="8" s="1"/>
  <c r="I457" i="8" s="1"/>
  <c r="AL427" i="8"/>
  <c r="AM427" i="8" s="1"/>
  <c r="AN427" i="8" s="1"/>
  <c r="AO427" i="8" s="1"/>
  <c r="AP427" i="8" s="1"/>
  <c r="AQ427" i="8" s="1"/>
  <c r="AR427" i="8" s="1"/>
  <c r="AS427" i="8" s="1"/>
  <c r="AT427" i="8" s="1"/>
  <c r="AU427" i="8" s="1"/>
  <c r="AV427" i="8" s="1"/>
  <c r="AW427" i="8" s="1"/>
  <c r="AX427" i="8" s="1"/>
  <c r="AY427" i="8" s="1"/>
  <c r="AZ427" i="8" s="1"/>
  <c r="BA427" i="8" s="1"/>
  <c r="BB427" i="8" s="1"/>
  <c r="BC427" i="8" s="1"/>
  <c r="BD427" i="8" s="1"/>
  <c r="BE427" i="8" s="1"/>
  <c r="BF427" i="8" s="1"/>
  <c r="BG427" i="8" s="1"/>
  <c r="BH427" i="8" s="1"/>
  <c r="BI427" i="8" s="1"/>
  <c r="BJ427" i="8" s="1"/>
  <c r="BK427" i="8" s="1"/>
  <c r="BL427" i="8" s="1"/>
  <c r="BM427" i="8" s="1"/>
  <c r="BN427" i="8" s="1"/>
  <c r="BO427" i="8" s="1"/>
  <c r="BP427" i="8" s="1"/>
  <c r="BQ427" i="8" s="1"/>
  <c r="BR427" i="8" s="1"/>
  <c r="BS427" i="8" s="1"/>
  <c r="BT427" i="8" s="1"/>
  <c r="BU427" i="8" s="1"/>
  <c r="BV427" i="8" s="1"/>
  <c r="BW427" i="8" s="1"/>
  <c r="BX427" i="8" s="1"/>
  <c r="BY427" i="8" s="1"/>
  <c r="BZ427" i="8" s="1"/>
  <c r="CA427" i="8" s="1"/>
  <c r="CB427" i="8" s="1"/>
  <c r="CC427" i="8" s="1"/>
  <c r="CD427" i="8" s="1"/>
  <c r="CE427" i="8" s="1"/>
  <c r="CF427" i="8" s="1"/>
  <c r="CG427" i="8" s="1"/>
  <c r="CH427" i="8" s="1"/>
  <c r="CI427" i="8" s="1"/>
  <c r="CJ427" i="8" s="1"/>
  <c r="CK427" i="8" s="1"/>
  <c r="CL427" i="8" s="1"/>
  <c r="CM427" i="8" s="1"/>
  <c r="CN427" i="8" s="1"/>
  <c r="CO427" i="8" s="1"/>
  <c r="CP427" i="8" s="1"/>
  <c r="CQ427" i="8" s="1"/>
  <c r="CR427" i="8" s="1"/>
  <c r="CS427" i="8" s="1"/>
  <c r="CT427" i="8" s="1"/>
  <c r="CU427" i="8" s="1"/>
  <c r="CV427" i="8" s="1"/>
  <c r="CW427" i="8" s="1"/>
  <c r="CX427" i="8" s="1"/>
  <c r="CY427" i="8" s="1"/>
  <c r="CZ427" i="8" s="1"/>
  <c r="DA427" i="8" s="1"/>
  <c r="DB427" i="8" s="1"/>
  <c r="DC427" i="8" s="1"/>
  <c r="DD427" i="8" s="1"/>
  <c r="DE427" i="8" s="1"/>
  <c r="DF427" i="8" s="1"/>
  <c r="DG427" i="8" s="1"/>
  <c r="DH427" i="8" s="1"/>
  <c r="DI427" i="8" s="1"/>
  <c r="DJ427" i="8" s="1"/>
  <c r="AI417" i="8"/>
  <c r="AE423" i="8" l="1"/>
  <c r="AF419" i="8"/>
  <c r="AF420" i="8" s="1"/>
  <c r="I469" i="8"/>
  <c r="AK417" i="8"/>
  <c r="G457" i="8"/>
  <c r="G469" i="8" s="1"/>
  <c r="DW414" i="8"/>
  <c r="H457" i="8"/>
  <c r="H469" i="8" s="1"/>
  <c r="AF423" i="8" l="1"/>
  <c r="AG419" i="8"/>
  <c r="AG420" i="8" s="1"/>
  <c r="F469" i="8"/>
  <c r="Q457" i="8"/>
  <c r="AG423" i="8" l="1"/>
  <c r="AH419" i="8"/>
  <c r="AH420" i="8" s="1"/>
  <c r="AH423" i="8" l="1"/>
  <c r="AI419" i="8"/>
  <c r="AI420" i="8" s="1"/>
  <c r="AI423" i="8" l="1"/>
  <c r="AJ419" i="8"/>
  <c r="AJ420" i="8" s="1"/>
  <c r="AJ423" i="8" l="1"/>
  <c r="AK419" i="8"/>
  <c r="AK420" i="8" s="1"/>
  <c r="AK423" i="8" l="1"/>
  <c r="AL419" i="8"/>
  <c r="AL420" i="8" s="1"/>
  <c r="AL423" i="8" l="1"/>
  <c r="AM419" i="8"/>
  <c r="AM420" i="8" s="1"/>
  <c r="AM423" i="8" l="1"/>
  <c r="AN419" i="8"/>
  <c r="AN420" i="8" s="1"/>
  <c r="AN423" i="8" l="1"/>
  <c r="AO419" i="8"/>
  <c r="AO420" i="8" s="1"/>
  <c r="AO423" i="8" l="1"/>
  <c r="AP419" i="8"/>
  <c r="AP420" i="8" s="1"/>
  <c r="AP423" i="8" l="1"/>
  <c r="AQ419" i="8"/>
  <c r="AQ420" i="8" s="1"/>
  <c r="AQ423" i="8" l="1"/>
  <c r="AR419" i="8"/>
  <c r="AR420" i="8" s="1"/>
  <c r="AR423" i="8" l="1"/>
  <c r="AS419" i="8"/>
  <c r="AS420" i="8" s="1"/>
  <c r="AS423" i="8" l="1"/>
  <c r="AT419" i="8"/>
  <c r="AT420" i="8" s="1"/>
  <c r="AT423" i="8" l="1"/>
  <c r="AU419" i="8"/>
  <c r="AU420" i="8" s="1"/>
  <c r="AU423" i="8" l="1"/>
  <c r="AV419" i="8"/>
  <c r="AV420" i="8" s="1"/>
  <c r="AV423" i="8" l="1"/>
  <c r="AW419" i="8"/>
  <c r="AW420" i="8" s="1"/>
  <c r="AW423" i="8" l="1"/>
  <c r="AX419" i="8"/>
  <c r="AX420" i="8" s="1"/>
  <c r="AX423" i="8" l="1"/>
  <c r="AY419" i="8"/>
  <c r="AY420" i="8" s="1"/>
  <c r="AY423" i="8" l="1"/>
  <c r="AZ419" i="8"/>
  <c r="AZ420" i="8" s="1"/>
  <c r="AZ423" i="8" l="1"/>
  <c r="BA419" i="8"/>
  <c r="BA420" i="8" s="1"/>
  <c r="BA423" i="8" l="1"/>
  <c r="BB419" i="8"/>
  <c r="BB420" i="8" s="1"/>
  <c r="BB423" i="8" l="1"/>
  <c r="BC419" i="8"/>
  <c r="BC420" i="8" s="1"/>
  <c r="BC423" i="8" l="1"/>
  <c r="BD419" i="8"/>
  <c r="BD420" i="8" s="1"/>
  <c r="BD423" i="8" l="1"/>
  <c r="BE419" i="8"/>
  <c r="BE420" i="8" s="1"/>
  <c r="BE423" i="8" l="1"/>
  <c r="BF419" i="8"/>
  <c r="BF420" i="8" s="1"/>
  <c r="BF423" i="8" l="1"/>
  <c r="BG419" i="8"/>
  <c r="BG420" i="8" s="1"/>
  <c r="BG423" i="8" l="1"/>
  <c r="BH419" i="8"/>
  <c r="BH420" i="8" s="1"/>
  <c r="BH423" i="8" l="1"/>
  <c r="BI419" i="8"/>
  <c r="BI420" i="8" s="1"/>
  <c r="BI423" i="8" l="1"/>
  <c r="BJ419" i="8"/>
  <c r="BJ420" i="8" s="1"/>
  <c r="BJ423" i="8" l="1"/>
  <c r="BK419" i="8"/>
  <c r="BK420" i="8" s="1"/>
  <c r="BK423" i="8" l="1"/>
  <c r="BL419" i="8"/>
  <c r="BL420" i="8" s="1"/>
  <c r="BL423" i="8" l="1"/>
  <c r="BM419" i="8"/>
  <c r="BM420" i="8" s="1"/>
  <c r="BM423" i="8" l="1"/>
  <c r="BN419" i="8"/>
  <c r="BN420" i="8" s="1"/>
  <c r="BN423" i="8" l="1"/>
  <c r="BO419" i="8"/>
  <c r="BO420" i="8" s="1"/>
  <c r="BO423" i="8" l="1"/>
  <c r="BP419" i="8"/>
  <c r="BP420" i="8" s="1"/>
  <c r="BP423" i="8" l="1"/>
  <c r="BQ419" i="8"/>
  <c r="BQ420" i="8" s="1"/>
  <c r="BQ423" i="8" l="1"/>
  <c r="BR419" i="8"/>
  <c r="BR420" i="8" s="1"/>
  <c r="BR423" i="8" l="1"/>
  <c r="BS419" i="8"/>
  <c r="BS420" i="8" s="1"/>
  <c r="BS423" i="8" l="1"/>
  <c r="BT419" i="8"/>
  <c r="BT420" i="8" s="1"/>
  <c r="BT423" i="8" l="1"/>
  <c r="BU419" i="8"/>
  <c r="BU420" i="8" s="1"/>
  <c r="BU423" i="8" l="1"/>
  <c r="BV419" i="8"/>
  <c r="BV420" i="8" s="1"/>
  <c r="BV423" i="8" l="1"/>
  <c r="BW419" i="8"/>
  <c r="BW420" i="8" s="1"/>
  <c r="BW423" i="8" l="1"/>
  <c r="BX419" i="8"/>
  <c r="BX420" i="8" s="1"/>
  <c r="BX423" i="8" l="1"/>
  <c r="BY419" i="8"/>
  <c r="BY420" i="8" s="1"/>
  <c r="BY423" i="8" l="1"/>
  <c r="BZ419" i="8"/>
  <c r="BZ420" i="8" s="1"/>
  <c r="BZ423" i="8" l="1"/>
  <c r="CA419" i="8"/>
  <c r="CA420" i="8" s="1"/>
  <c r="CA423" i="8" l="1"/>
  <c r="CB419" i="8"/>
  <c r="CB420" i="8" s="1"/>
  <c r="CB423" i="8" l="1"/>
  <c r="CC419" i="8"/>
  <c r="CC420" i="8" s="1"/>
  <c r="CC423" i="8" l="1"/>
  <c r="CD419" i="8"/>
  <c r="CD420" i="8" s="1"/>
  <c r="CD423" i="8" l="1"/>
  <c r="CE419" i="8"/>
  <c r="CE420" i="8" s="1"/>
  <c r="CE423" i="8" l="1"/>
  <c r="CF419" i="8"/>
  <c r="CF420" i="8" s="1"/>
  <c r="CF423" i="8" l="1"/>
  <c r="CG419" i="8"/>
  <c r="CG420" i="8" s="1"/>
  <c r="CG423" i="8" l="1"/>
  <c r="CH419" i="8"/>
  <c r="CH420" i="8" s="1"/>
  <c r="CH423" i="8" l="1"/>
  <c r="CI419" i="8"/>
  <c r="CI420" i="8" s="1"/>
  <c r="CI423" i="8" l="1"/>
  <c r="CJ419" i="8"/>
  <c r="CJ420" i="8" s="1"/>
  <c r="CJ423" i="8" l="1"/>
  <c r="CK419" i="8"/>
  <c r="CK420" i="8" s="1"/>
  <c r="CK423" i="8" l="1"/>
  <c r="CL419" i="8"/>
  <c r="CL420" i="8" s="1"/>
  <c r="CL423" i="8" l="1"/>
  <c r="CM419" i="8"/>
  <c r="CM420" i="8" s="1"/>
  <c r="CM423" i="8" l="1"/>
  <c r="CN419" i="8"/>
  <c r="CN420" i="8" s="1"/>
  <c r="CN423" i="8" l="1"/>
  <c r="CO419" i="8"/>
  <c r="CO420" i="8" s="1"/>
  <c r="CP419" i="8" l="1"/>
  <c r="CP420" i="8" s="1"/>
  <c r="CO423" i="8"/>
  <c r="CQ419" i="8" l="1"/>
  <c r="CQ420" i="8" s="1"/>
  <c r="CP423" i="8"/>
  <c r="CQ423" i="8" l="1"/>
  <c r="CR419" i="8"/>
  <c r="CR420" i="8" s="1"/>
  <c r="CR423" i="8" l="1"/>
  <c r="CS419" i="8"/>
  <c r="CS420" i="8" s="1"/>
  <c r="CS423" i="8" l="1"/>
  <c r="CT419" i="8"/>
  <c r="CT420" i="8" s="1"/>
  <c r="CT423" i="8" l="1"/>
  <c r="CU419" i="8"/>
  <c r="CU420" i="8" s="1"/>
  <c r="CV419" i="8" l="1"/>
  <c r="CU423" i="8"/>
  <c r="DC383" i="8" l="1"/>
  <c r="DA382" i="8"/>
  <c r="DW145" i="8"/>
  <c r="DW146" i="8"/>
  <c r="DA383" i="8"/>
  <c r="DA385" i="8" l="1"/>
  <c r="EI145" i="8"/>
  <c r="EJ145" i="8" s="1"/>
  <c r="DX145" i="8"/>
  <c r="DY145" i="8" s="1"/>
  <c r="DA405" i="8"/>
  <c r="EH145" i="8" l="1"/>
  <c r="DZ145" i="8"/>
  <c r="DA407" i="8"/>
  <c r="DA410" i="8" l="1"/>
  <c r="DA417" i="8" s="1"/>
  <c r="DG384" i="8" l="1"/>
  <c r="DG406" i="8" s="1"/>
  <c r="DI384" i="8"/>
  <c r="DI406" i="8" s="1"/>
  <c r="DI407" i="8" s="1"/>
  <c r="DI410" i="8" s="1"/>
  <c r="DI417" i="8" s="1"/>
  <c r="DW378" i="8" l="1"/>
  <c r="DG407" i="8"/>
  <c r="DI385" i="8"/>
  <c r="DG385" i="8"/>
  <c r="O453" i="8"/>
  <c r="DG410" i="8" l="1"/>
  <c r="DG417" i="8" s="1"/>
  <c r="DV382" i="8" l="1"/>
  <c r="DW16" i="8"/>
  <c r="DV405" i="8" l="1"/>
  <c r="DW18" i="8" l="1"/>
  <c r="DV384" i="8"/>
  <c r="DV406" i="8" l="1"/>
  <c r="DV385" i="8"/>
  <c r="EI16" i="8"/>
  <c r="EJ16" i="8" s="1"/>
  <c r="DX16" i="8"/>
  <c r="DY16" i="8" s="1"/>
  <c r="DZ16" i="8" l="1"/>
  <c r="EH16" i="8"/>
  <c r="DV407" i="8"/>
  <c r="DV410" i="8" l="1"/>
  <c r="DV417" i="8" s="1"/>
  <c r="CW382" i="8" l="1"/>
  <c r="CW405" i="8" l="1"/>
  <c r="CW385" i="8"/>
  <c r="CW407" i="8" l="1"/>
  <c r="CW410" i="8" l="1"/>
  <c r="CW417" i="8" s="1"/>
  <c r="CV382" i="8"/>
  <c r="CV405" i="8" l="1"/>
  <c r="CV385" i="8"/>
  <c r="CV386" i="8" s="1"/>
  <c r="CW386" i="8" s="1"/>
  <c r="CX386" i="8" s="1"/>
  <c r="CV407" i="8" l="1"/>
  <c r="N452" i="8"/>
  <c r="N454" i="8" l="1"/>
  <c r="N466" i="8" s="1"/>
  <c r="F466" i="8" s="1"/>
  <c r="F471" i="8" s="1"/>
  <c r="CV410" i="8"/>
  <c r="CV417" i="8" s="1"/>
  <c r="CV420" i="8" s="1"/>
  <c r="CW419" i="8" l="1"/>
  <c r="CW420" i="8" s="1"/>
  <c r="CV423" i="8"/>
  <c r="CW423" i="8" l="1"/>
  <c r="CX419" i="8"/>
  <c r="CX420" i="8" s="1"/>
  <c r="CY419" i="8" l="1"/>
  <c r="CX423" i="8"/>
  <c r="CY382" i="8"/>
  <c r="DW151" i="8"/>
  <c r="EO153" i="8" s="1"/>
  <c r="EQ153" i="8" s="1"/>
  <c r="DC382" i="8"/>
  <c r="EI151" i="8" l="1"/>
  <c r="EJ151" i="8" s="1"/>
  <c r="DX151" i="8"/>
  <c r="DY151" i="8" s="1"/>
  <c r="DC385" i="8"/>
  <c r="DC405" i="8"/>
  <c r="DC407" i="8" s="1"/>
  <c r="DC410" i="8" s="1"/>
  <c r="DC417" i="8" s="1"/>
  <c r="CY405" i="8"/>
  <c r="CY385" i="8"/>
  <c r="CY386" i="8" s="1"/>
  <c r="CZ386" i="8" s="1"/>
  <c r="DA386" i="8" s="1"/>
  <c r="DB386" i="8" s="1"/>
  <c r="DC386" i="8" l="1"/>
  <c r="DD386" i="8" s="1"/>
  <c r="EH151" i="8"/>
  <c r="DZ151" i="8"/>
  <c r="CY407" i="8"/>
  <c r="CY410" i="8" l="1"/>
  <c r="CY417" i="8" s="1"/>
  <c r="CY420" i="8" s="1"/>
  <c r="CY423" i="8" l="1"/>
  <c r="CZ419" i="8"/>
  <c r="CZ420" i="8" s="1"/>
  <c r="CZ423" i="8" l="1"/>
  <c r="DA419" i="8"/>
  <c r="DA420" i="8" s="1"/>
  <c r="DB419" i="8" l="1"/>
  <c r="DB420" i="8" s="1"/>
  <c r="DA423" i="8"/>
  <c r="DC419" i="8" l="1"/>
  <c r="DC420" i="8" s="1"/>
  <c r="DB423" i="8"/>
  <c r="DC423" i="8" l="1"/>
  <c r="DD419" i="8"/>
  <c r="DD420" i="8" s="1"/>
  <c r="DD423" i="8" l="1"/>
  <c r="DE419" i="8"/>
  <c r="DW377" i="8" l="1"/>
  <c r="DE383" i="8"/>
  <c r="DE385" i="8" l="1"/>
  <c r="DE386" i="8" s="1"/>
  <c r="DF386" i="8" s="1"/>
  <c r="DG386" i="8" s="1"/>
  <c r="DE405" i="8"/>
  <c r="DE407" i="8" l="1"/>
  <c r="DE410" i="8" l="1"/>
  <c r="DE417" i="8" s="1"/>
  <c r="DE420" i="8" s="1"/>
  <c r="DF419" i="8" l="1"/>
  <c r="DF420" i="8" s="1"/>
  <c r="DE423" i="8"/>
  <c r="DF423" i="8" l="1"/>
  <c r="DG419" i="8"/>
  <c r="DG420" i="8" s="1"/>
  <c r="DG423" i="8" l="1"/>
  <c r="DH419" i="8"/>
  <c r="DH382" i="8"/>
  <c r="O452" i="8" l="1"/>
  <c r="DH385" i="8"/>
  <c r="DH386" i="8" s="1"/>
  <c r="DI386" i="8" s="1"/>
  <c r="DJ386" i="8" s="1"/>
  <c r="DK386" i="8" s="1"/>
  <c r="DH405" i="8"/>
  <c r="O454" i="8" l="1"/>
  <c r="DH407" i="8"/>
  <c r="DH410" i="8" l="1"/>
  <c r="DH417" i="8" s="1"/>
  <c r="DH420" i="8" s="1"/>
  <c r="DH423" i="8" l="1"/>
  <c r="DI419" i="8"/>
  <c r="DI420" i="8" s="1"/>
  <c r="DJ419" i="8" l="1"/>
  <c r="DJ420" i="8" s="1"/>
  <c r="DI423" i="8"/>
  <c r="DJ423" i="8" l="1"/>
  <c r="DK419" i="8"/>
  <c r="DK420" i="8" s="1"/>
  <c r="DL419" i="8" l="1"/>
  <c r="DK423" i="8"/>
  <c r="DW183" i="8"/>
  <c r="DN384" i="8"/>
  <c r="DW384" i="8" s="1"/>
  <c r="DX384" i="8" s="1"/>
  <c r="DL383" i="8"/>
  <c r="DZ420" i="8" l="1"/>
  <c r="DL385" i="8"/>
  <c r="DL386" i="8" s="1"/>
  <c r="DM386" i="8" s="1"/>
  <c r="DN383" i="8"/>
  <c r="DL405" i="8"/>
  <c r="DN406" i="8"/>
  <c r="DW406" i="8" s="1"/>
  <c r="DW383" i="8" l="1"/>
  <c r="DX383" i="8" s="1"/>
  <c r="DL407" i="8"/>
  <c r="P453" i="8"/>
  <c r="DW182" i="8"/>
  <c r="Q453" i="8" l="1"/>
  <c r="DX181" i="8"/>
  <c r="DY181" i="8" s="1"/>
  <c r="EI181" i="8"/>
  <c r="EJ181" i="8" s="1"/>
  <c r="DL410" i="8"/>
  <c r="DL417" i="8" s="1"/>
  <c r="DL420" i="8" s="1"/>
  <c r="DM419" i="8" l="1"/>
  <c r="DM420" i="8" s="1"/>
  <c r="DL423" i="8"/>
  <c r="DZ181" i="8"/>
  <c r="DN419" i="8" l="1"/>
  <c r="DM423" i="8"/>
  <c r="DW196" i="8" l="1"/>
  <c r="EI196" i="8" s="1"/>
  <c r="EJ196" i="8" s="1"/>
  <c r="DN382" i="8"/>
  <c r="DN385" i="8" s="1"/>
  <c r="DN386" i="8" s="1"/>
  <c r="DO386" i="8" s="1"/>
  <c r="DP386" i="8" s="1"/>
  <c r="DQ386" i="8" s="1"/>
  <c r="DR386" i="8" s="1"/>
  <c r="DS386" i="8" s="1"/>
  <c r="DT386" i="8" s="1"/>
  <c r="DX196" i="8" l="1"/>
  <c r="EG196" i="8" s="1"/>
  <c r="DN405" i="8"/>
  <c r="DN407" i="8" l="1"/>
  <c r="EG198" i="8"/>
  <c r="DY196" i="8"/>
  <c r="DN410" i="8" l="1"/>
  <c r="DN417" i="8" s="1"/>
  <c r="DN420" i="8" s="1"/>
  <c r="DZ196" i="8"/>
  <c r="DN423" i="8" l="1"/>
  <c r="DO419" i="8"/>
  <c r="DO420" i="8" s="1"/>
  <c r="DO423" i="8" l="1"/>
  <c r="DP419" i="8"/>
  <c r="DP420" i="8" s="1"/>
  <c r="DP423" i="8" l="1"/>
  <c r="DQ419" i="8"/>
  <c r="DQ420" i="8" s="1"/>
  <c r="DQ423" i="8" l="1"/>
  <c r="DR419" i="8"/>
  <c r="DR420" i="8" s="1"/>
  <c r="DR423" i="8" l="1"/>
  <c r="DS419" i="8"/>
  <c r="DS420" i="8" s="1"/>
  <c r="DT419" i="8" l="1"/>
  <c r="DT420" i="8" s="1"/>
  <c r="DS423" i="8"/>
  <c r="DT423" i="8" l="1"/>
  <c r="DU419" i="8"/>
  <c r="K204" i="3" l="1"/>
  <c r="L159" i="3" s="1"/>
  <c r="L161" i="3" s="1"/>
  <c r="M160" i="3" l="1"/>
  <c r="D376" i="8" l="1"/>
  <c r="DW376" i="8"/>
  <c r="M159" i="3" s="1"/>
  <c r="M161" i="3" s="1"/>
  <c r="DU382" i="8"/>
  <c r="DW382" i="8" s="1"/>
  <c r="DX382" i="8" s="1"/>
  <c r="EI376" i="8" l="1"/>
  <c r="EJ376" i="8" s="1"/>
  <c r="DX376" i="8"/>
  <c r="DY376" i="8" s="1"/>
  <c r="DX385" i="8"/>
  <c r="DY15" i="8"/>
  <c r="EI379" i="8"/>
  <c r="EJ379" i="8" s="1"/>
  <c r="DZ376" i="8"/>
  <c r="DY386" i="8"/>
  <c r="P452" i="8"/>
  <c r="DU385" i="8"/>
  <c r="DU386" i="8" s="1"/>
  <c r="DV386" i="8" s="1"/>
  <c r="DW386" i="8" s="1"/>
  <c r="DU405" i="8"/>
  <c r="DZ386" i="8" l="1"/>
  <c r="EA386" i="8" s="1"/>
  <c r="DW405" i="8"/>
  <c r="DU407" i="8"/>
  <c r="P454" i="8"/>
  <c r="Q452" i="8"/>
  <c r="Q454" i="8" s="1"/>
  <c r="S450" i="8" s="1"/>
  <c r="S452" i="8" s="1"/>
  <c r="L163" i="3"/>
  <c r="M163" i="3" s="1"/>
  <c r="DX386" i="8"/>
  <c r="DW407" i="8" l="1"/>
  <c r="DU410" i="8"/>
  <c r="DU417" i="8" s="1"/>
  <c r="DU420" i="8" s="1"/>
  <c r="DV419" i="8" l="1"/>
  <c r="DV420" i="8" s="1"/>
  <c r="DU423" i="8"/>
  <c r="DZ414" i="8" l="1"/>
  <c r="DZ415" i="8" s="1"/>
  <c r="DV4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wb323545</author>
    <author>Diego A. Berardo</author>
    <author>Ingeniero2</author>
    <author>SERVIDOR</author>
    <author>wb323203</author>
  </authors>
  <commentList>
    <comment ref="E3" authorId="0" shapeId="0" xr:uid="{00000000-0006-0000-0000-000001000000}">
      <text>
        <r>
          <rPr>
            <b/>
            <sz val="12"/>
            <color indexed="81"/>
            <rFont val="Tahoma"/>
            <family val="2"/>
          </rPr>
          <t>Cuando sea claro el ámbito de aplicación</t>
        </r>
        <r>
          <rPr>
            <sz val="8"/>
            <color indexed="81"/>
            <rFont val="Tahoma"/>
            <family val="2"/>
          </rPr>
          <t xml:space="preserve">
</t>
        </r>
      </text>
    </comment>
    <comment ref="AG3" authorId="1" shapeId="0" xr:uid="{00000000-0006-0000-0000-000002000000}">
      <text>
        <r>
          <rPr>
            <sz val="8"/>
            <color indexed="81"/>
            <rFont val="Tahoma"/>
            <family val="2"/>
          </rPr>
          <t>Para poder cargar esta información en el sistema debe estar informada la fecha REAL de Firma del Contrato del Proceso.</t>
        </r>
      </text>
    </comment>
    <comment ref="AH3" authorId="1" shapeId="0" xr:uid="{00000000-0006-0000-0000-000003000000}">
      <text>
        <r>
          <rPr>
            <sz val="8"/>
            <color indexed="81"/>
            <rFont val="Tahoma"/>
            <family val="2"/>
          </rPr>
          <t>Para poder cargar esta información en el sistema debe estar informada la fecha REAL de Firma del Contrato del Proceso.</t>
        </r>
      </text>
    </comment>
    <comment ref="AI3" authorId="2" shapeId="0" xr:uid="{00000000-0006-0000-0000-000004000000}">
      <text>
        <r>
          <rPr>
            <b/>
            <sz val="9"/>
            <color indexed="81"/>
            <rFont val="Tahoma"/>
            <family val="2"/>
          </rPr>
          <t>SE DEFINE EL ESTADO ACTUAL DE LOS ESTUDIOS Y DISEÑOS.</t>
        </r>
      </text>
    </comment>
    <comment ref="F9" authorId="2" shapeId="0" xr:uid="{00000000-0006-0000-0000-000005000000}">
      <text>
        <r>
          <rPr>
            <sz val="9"/>
            <color indexed="81"/>
            <rFont val="Tahoma"/>
            <family val="2"/>
          </rPr>
          <t xml:space="preserve">Se coloca Diagonal 2E que es la misma Calle 5, se encuentra una superposición de nomenclatura.
</t>
        </r>
      </text>
    </comment>
    <comment ref="F10" authorId="2" shapeId="0" xr:uid="{00000000-0006-0000-0000-000006000000}">
      <text>
        <r>
          <rPr>
            <sz val="9"/>
            <color indexed="81"/>
            <rFont val="Tahoma"/>
            <family val="2"/>
          </rPr>
          <t xml:space="preserve">Se construiran 3 Paraderos con espacio publico con recursos de este proyecto
</t>
        </r>
      </text>
    </comment>
    <comment ref="F17" authorId="2" shapeId="0" xr:uid="{00000000-0006-0000-0000-000007000000}">
      <text>
        <r>
          <rPr>
            <sz val="9"/>
            <color indexed="81"/>
            <rFont val="Tahoma"/>
            <family val="2"/>
          </rPr>
          <t>Se construiran 2 pontones con recursos de esta obra</t>
        </r>
      </text>
    </comment>
    <comment ref="M20" authorId="3" shapeId="0" xr:uid="{00000000-0006-0000-0000-000008000000}">
      <text>
        <r>
          <rPr>
            <b/>
            <sz val="9"/>
            <color indexed="81"/>
            <rFont val="Tahoma"/>
            <family val="2"/>
          </rPr>
          <t>SERVIDOR:</t>
        </r>
        <r>
          <rPr>
            <sz val="9"/>
            <color indexed="81"/>
            <rFont val="Tahoma"/>
            <family val="2"/>
          </rPr>
          <t xml:space="preserve">
$ 2013
</t>
        </r>
      </text>
    </comment>
    <comment ref="M21" authorId="3" shapeId="0" xr:uid="{00000000-0006-0000-0000-000009000000}">
      <text>
        <r>
          <rPr>
            <b/>
            <sz val="9"/>
            <color indexed="81"/>
            <rFont val="Tahoma"/>
            <family val="2"/>
          </rPr>
          <t>SERVIDOR:</t>
        </r>
        <r>
          <rPr>
            <sz val="9"/>
            <color indexed="81"/>
            <rFont val="Tahoma"/>
            <family val="2"/>
          </rPr>
          <t xml:space="preserve">
$2013
</t>
        </r>
      </text>
    </comment>
    <comment ref="G35" authorId="2" shapeId="0" xr:uid="{00000000-0006-0000-0000-00000A000000}">
      <text>
        <r>
          <rPr>
            <b/>
            <sz val="9"/>
            <color indexed="81"/>
            <rFont val="Tahoma"/>
            <family val="2"/>
          </rPr>
          <t>Construida por la gobernación</t>
        </r>
      </text>
    </comment>
    <comment ref="E72" authorId="0" shapeId="0" xr:uid="{00000000-0006-0000-0000-00000B000000}">
      <text>
        <r>
          <rPr>
            <b/>
            <sz val="12"/>
            <color indexed="81"/>
            <rFont val="Tahoma"/>
            <family val="2"/>
          </rPr>
          <t>Cuando sea claro el ámbito de aplicación</t>
        </r>
        <r>
          <rPr>
            <sz val="8"/>
            <color indexed="81"/>
            <rFont val="Tahoma"/>
            <family val="2"/>
          </rPr>
          <t xml:space="preserve">
</t>
        </r>
      </text>
    </comment>
    <comment ref="AG72" authorId="1" shapeId="0" xr:uid="{00000000-0006-0000-0000-00000C000000}">
      <text>
        <r>
          <rPr>
            <sz val="8"/>
            <color indexed="81"/>
            <rFont val="Tahoma"/>
            <family val="2"/>
          </rPr>
          <t>Para poder cargar esta información en el sistema debe estar informada la fecha REAL de Firma del Contrato del Proceso.</t>
        </r>
      </text>
    </comment>
    <comment ref="AH72" authorId="1" shapeId="0" xr:uid="{00000000-0006-0000-0000-00000D000000}">
      <text>
        <r>
          <rPr>
            <sz val="8"/>
            <color indexed="81"/>
            <rFont val="Tahoma"/>
            <family val="2"/>
          </rPr>
          <t>Para poder cargar esta información en el sistema debe estar informada la fecha REAL de Firma del Contrato del Proceso.</t>
        </r>
      </text>
    </comment>
    <comment ref="E82" authorId="0" shapeId="0" xr:uid="{00000000-0006-0000-0000-00000E000000}">
      <text>
        <r>
          <rPr>
            <b/>
            <sz val="12"/>
            <color indexed="81"/>
            <rFont val="Tahoma"/>
            <family val="2"/>
          </rPr>
          <t>Cuando sea claro el ámbito de aplicación</t>
        </r>
        <r>
          <rPr>
            <sz val="8"/>
            <color indexed="81"/>
            <rFont val="Tahoma"/>
            <family val="2"/>
          </rPr>
          <t xml:space="preserve">
</t>
        </r>
      </text>
    </comment>
    <comment ref="AG82" authorId="1" shapeId="0" xr:uid="{00000000-0006-0000-0000-00000F000000}">
      <text>
        <r>
          <rPr>
            <sz val="8"/>
            <color indexed="81"/>
            <rFont val="Tahoma"/>
            <family val="2"/>
          </rPr>
          <t>Para poder cargar esta información en el sistema debe estar informada la fecha REAL de Firma del Contrato del Proceso.</t>
        </r>
      </text>
    </comment>
    <comment ref="AH82" authorId="1" shapeId="0" xr:uid="{00000000-0006-0000-0000-000010000000}">
      <text>
        <r>
          <rPr>
            <sz val="8"/>
            <color indexed="81"/>
            <rFont val="Tahoma"/>
            <family val="2"/>
          </rPr>
          <t>Para poder cargar esta información en el sistema debe estar informada la fecha REAL de Firma del Contrato del Proceso.</t>
        </r>
      </text>
    </comment>
    <comment ref="E92" authorId="0" shapeId="0" xr:uid="{00000000-0006-0000-0000-000011000000}">
      <text>
        <r>
          <rPr>
            <b/>
            <sz val="12"/>
            <color indexed="81"/>
            <rFont val="Tahoma"/>
            <family val="2"/>
          </rPr>
          <t>Cuando sea claro el ámbito de aplicación</t>
        </r>
        <r>
          <rPr>
            <sz val="8"/>
            <color indexed="81"/>
            <rFont val="Tahoma"/>
            <family val="2"/>
          </rPr>
          <t xml:space="preserve">
</t>
        </r>
      </text>
    </comment>
    <comment ref="AJ92" authorId="1" shapeId="0" xr:uid="{00000000-0006-0000-0000-000012000000}">
      <text>
        <r>
          <rPr>
            <sz val="8"/>
            <color indexed="81"/>
            <rFont val="Tahoma"/>
            <family val="2"/>
          </rPr>
          <t>Para poder cargar esta información en el sistema debe estar informada la fecha REAL de Firma del Contrato del Proceso.</t>
        </r>
      </text>
    </comment>
    <comment ref="AK92" authorId="1" shapeId="0" xr:uid="{00000000-0006-0000-0000-000013000000}">
      <text>
        <r>
          <rPr>
            <sz val="8"/>
            <color indexed="81"/>
            <rFont val="Tahoma"/>
            <family val="2"/>
          </rPr>
          <t>Para poder cargar esta información en el sistema debe estar informada la fecha REAL de Firma del Contrato del Proceso.</t>
        </r>
      </text>
    </comment>
    <comment ref="AL92" authorId="1" shapeId="0" xr:uid="{00000000-0006-0000-0000-000014000000}">
      <text>
        <r>
          <rPr>
            <sz val="8"/>
            <color indexed="81"/>
            <rFont val="Tahoma"/>
            <family val="2"/>
          </rPr>
          <t>Para poder cargar esta información en el sistema debe estar informada la fecha REAL de Firma del Contrato del Proceso.</t>
        </r>
      </text>
    </comment>
    <comment ref="AM92" authorId="1" shapeId="0" xr:uid="{00000000-0006-0000-0000-000015000000}">
      <text>
        <r>
          <rPr>
            <sz val="8"/>
            <color indexed="81"/>
            <rFont val="Tahoma"/>
            <family val="2"/>
          </rPr>
          <t>Para poder cargar esta información en el sistema debe estar informada la fecha REAL de Firma del Contrato del Proceso.</t>
        </r>
      </text>
    </comment>
    <comment ref="L96" authorId="2" shapeId="0" xr:uid="{00000000-0006-0000-0000-000016000000}">
      <text>
        <r>
          <rPr>
            <b/>
            <sz val="9"/>
            <color indexed="81"/>
            <rFont val="Tahoma"/>
            <family val="2"/>
          </rPr>
          <t>un adicional</t>
        </r>
      </text>
    </comment>
    <comment ref="L98" authorId="2" shapeId="0" xr:uid="{00000000-0006-0000-0000-000017000000}">
      <text>
        <r>
          <rPr>
            <b/>
            <sz val="9"/>
            <color indexed="81"/>
            <rFont val="Tahoma"/>
            <family val="2"/>
          </rPr>
          <t>Un adicional en tiempo y dinero</t>
        </r>
      </text>
    </comment>
    <comment ref="AH101" authorId="3" shapeId="0" xr:uid="{00000000-0006-0000-0000-000018000000}">
      <text>
        <r>
          <rPr>
            <b/>
            <sz val="9"/>
            <color indexed="81"/>
            <rFont val="Tahoma"/>
            <family val="2"/>
          </rPr>
          <t>FECHA LIGADA A LOS TRES (3) CONTRATOS RELACIONADOS.</t>
        </r>
      </text>
    </comment>
    <comment ref="E167" authorId="0" shapeId="0" xr:uid="{00000000-0006-0000-0000-000019000000}">
      <text>
        <r>
          <rPr>
            <b/>
            <sz val="12"/>
            <color indexed="81"/>
            <rFont val="Tahoma"/>
            <family val="2"/>
          </rPr>
          <t>Cuando sea claro el ámbito de aplicación</t>
        </r>
        <r>
          <rPr>
            <sz val="8"/>
            <color indexed="81"/>
            <rFont val="Tahoma"/>
            <family val="2"/>
          </rPr>
          <t xml:space="preserve">
</t>
        </r>
      </text>
    </comment>
    <comment ref="V167" authorId="1" shapeId="0" xr:uid="{00000000-0006-0000-0000-00001A000000}">
      <text>
        <r>
          <rPr>
            <sz val="8"/>
            <color indexed="81"/>
            <rFont val="Tahoma"/>
            <family val="2"/>
          </rPr>
          <t>Para poder cargar esta información en el sistema debe estar informada la fecha REAL de Fin de las Contrataciones del Proceso.</t>
        </r>
      </text>
    </comment>
    <comment ref="W167" authorId="1" shapeId="0" xr:uid="{00000000-0006-0000-0000-00001B000000}">
      <text>
        <r>
          <rPr>
            <sz val="8"/>
            <color indexed="81"/>
            <rFont val="Tahoma"/>
            <family val="2"/>
          </rPr>
          <t>Para poder cargar esta información en el sistema debe estar informada la fecha REAL de Fin de las Contrataciones del Proceso.</t>
        </r>
      </text>
    </comment>
    <comment ref="X167" authorId="1" shapeId="0" xr:uid="{00000000-0006-0000-0000-00001C000000}">
      <text>
        <r>
          <rPr>
            <sz val="8"/>
            <color indexed="81"/>
            <rFont val="Tahoma"/>
            <family val="2"/>
          </rPr>
          <t>Para poder cargar esta información en el sistema debe estar informada la fecha REAL de Fin de las Contrataciones del Proceso.</t>
        </r>
      </text>
    </comment>
    <comment ref="Y167" authorId="1" shapeId="0" xr:uid="{00000000-0006-0000-0000-00001D000000}">
      <text>
        <r>
          <rPr>
            <sz val="8"/>
            <color indexed="81"/>
            <rFont val="Tahoma"/>
            <family val="2"/>
          </rPr>
          <t>Para poder cargar esta información en el sistema debe estar informada la fecha REAL de Fin de las Contrataciones del Proceso.</t>
        </r>
      </text>
    </comment>
    <comment ref="E206" authorId="0" shapeId="0" xr:uid="{00000000-0006-0000-0000-00001E000000}">
      <text>
        <r>
          <rPr>
            <b/>
            <sz val="12"/>
            <color indexed="81"/>
            <rFont val="Tahoma"/>
            <family val="2"/>
          </rPr>
          <t>Cuando sea claro el ámbito de aplicación</t>
        </r>
        <r>
          <rPr>
            <sz val="8"/>
            <color indexed="81"/>
            <rFont val="Tahoma"/>
            <family val="2"/>
          </rPr>
          <t xml:space="preserve">
</t>
        </r>
      </text>
    </comment>
    <comment ref="V206" authorId="1" shapeId="0" xr:uid="{00000000-0006-0000-0000-00001F000000}">
      <text>
        <r>
          <rPr>
            <sz val="8"/>
            <color indexed="81"/>
            <rFont val="Tahoma"/>
            <family val="2"/>
          </rPr>
          <t>Para poder cargar esta información en el sistema debe estar informada la fecha REAL de No Objeción a PCA del Proceso.</t>
        </r>
      </text>
    </comment>
    <comment ref="W206" authorId="1" shapeId="0" xr:uid="{00000000-0006-0000-0000-000020000000}">
      <text>
        <r>
          <rPr>
            <sz val="8"/>
            <color indexed="81"/>
            <rFont val="Tahoma"/>
            <family val="2"/>
          </rPr>
          <t>Para poder cargar esta información en el sistema debe estar informada la fecha REAL de No Objeción a PCA del Proceso.</t>
        </r>
      </text>
    </comment>
    <comment ref="E216" authorId="0" shapeId="0" xr:uid="{00000000-0006-0000-0000-000021000000}">
      <text>
        <r>
          <rPr>
            <b/>
            <sz val="12"/>
            <color indexed="81"/>
            <rFont val="Tahoma"/>
            <family val="2"/>
          </rPr>
          <t>Cuando sea claro el ámbito de aplicación</t>
        </r>
        <r>
          <rPr>
            <sz val="8"/>
            <color indexed="81"/>
            <rFont val="Tahoma"/>
            <family val="2"/>
          </rPr>
          <t xml:space="preserve">
</t>
        </r>
      </text>
    </comment>
    <comment ref="L216" authorId="0" shapeId="0" xr:uid="{00000000-0006-0000-0000-000022000000}">
      <text>
        <r>
          <rPr>
            <sz val="14"/>
            <color indexed="81"/>
            <rFont val="Tahoma"/>
            <family val="2"/>
          </rPr>
          <t xml:space="preserve">Numero estimado de subproyectos para esta línea
</t>
        </r>
        <r>
          <rPr>
            <sz val="8"/>
            <color indexed="81"/>
            <rFont val="Tahoma"/>
            <family val="2"/>
          </rPr>
          <t xml:space="preserve">
</t>
        </r>
      </text>
    </comment>
    <comment ref="N216" authorId="4" shapeId="0" xr:uid="{00000000-0006-0000-0000-000023000000}">
      <text>
        <r>
          <rPr>
            <sz val="9"/>
            <color indexed="81"/>
            <rFont val="Arial"/>
            <family val="2"/>
          </rPr>
          <t>Si los Subproyectos se adjudican en una fecha fija esta es la que se debe relacionar
Si los Subproyecto se adjudican a través de una "Ventana" abierta colocar  N/A</t>
        </r>
      </text>
    </comment>
    <comment ref="R216" authorId="1" shapeId="0" xr:uid="{00000000-0006-0000-0000-000024000000}">
      <text>
        <r>
          <rPr>
            <sz val="8"/>
            <color indexed="81"/>
            <rFont val="Tahoma"/>
            <family val="2"/>
          </rPr>
          <t>Para poder cargar esta información en el sistema debe estar informada la fecha REAL de Transferencia del Proceso.</t>
        </r>
      </text>
    </comment>
    <comment ref="S216" authorId="1" shapeId="0" xr:uid="{00000000-0006-0000-0000-000025000000}">
      <text>
        <r>
          <rPr>
            <sz val="8"/>
            <color indexed="81"/>
            <rFont val="Tahoma"/>
            <family val="2"/>
          </rPr>
          <t>Para poder cargar esta información en el sistema debe estar informada la fecha REAL de Transferencia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SERVIDOR</author>
    <author>Financi</author>
    <author>USUARIO</author>
    <author>Ingeniero2</author>
  </authors>
  <commentList>
    <comment ref="AZ6" authorId="0" shapeId="0" xr:uid="{00000000-0006-0000-0100-000001000000}">
      <text>
        <r>
          <rPr>
            <b/>
            <sz val="9"/>
            <color indexed="81"/>
            <rFont val="Tahoma"/>
            <family val="2"/>
          </rPr>
          <t xml:space="preserve">SEGUNDO DESEMBOLSO 2013 - NACION
</t>
        </r>
      </text>
    </comment>
    <comment ref="AZ7" authorId="0" shapeId="0" xr:uid="{00000000-0006-0000-0100-000002000000}">
      <text>
        <r>
          <rPr>
            <b/>
            <sz val="9"/>
            <color indexed="81"/>
            <rFont val="Tahoma"/>
            <family val="2"/>
          </rPr>
          <t xml:space="preserve">SEGUNDO DESEMBOLSO 2013 - NACION
</t>
        </r>
      </text>
    </comment>
    <comment ref="CP13" authorId="1" shapeId="0" xr:uid="{00000000-0006-0000-0100-000003000000}">
      <text>
        <r>
          <rPr>
            <b/>
            <sz val="9"/>
            <color indexed="81"/>
            <rFont val="Tahoma"/>
            <family val="2"/>
          </rPr>
          <t>Financi:</t>
        </r>
        <r>
          <rPr>
            <sz val="9"/>
            <color indexed="81"/>
            <rFont val="Tahoma"/>
            <family val="2"/>
          </rPr>
          <t xml:space="preserve">
TOTAL LEGALIZACION DESEMBOLSO 1 Y 2 DE 2016
</t>
        </r>
      </text>
    </comment>
    <comment ref="CT13" authorId="1" shapeId="0" xr:uid="{00000000-0006-0000-0100-000004000000}">
      <text>
        <r>
          <rPr>
            <b/>
            <sz val="9"/>
            <color indexed="81"/>
            <rFont val="Tahoma"/>
            <family val="2"/>
          </rPr>
          <t>Financi:</t>
        </r>
        <r>
          <rPr>
            <sz val="9"/>
            <color indexed="81"/>
            <rFont val="Tahoma"/>
            <family val="2"/>
          </rPr>
          <t xml:space="preserve"> SOLICITUD PRIMER DESEMBOLSO 2017
</t>
        </r>
      </text>
    </comment>
    <comment ref="BG64" authorId="2" shapeId="0" xr:uid="{00000000-0006-0000-0100-000005000000}">
      <text>
        <r>
          <rPr>
            <b/>
            <sz val="9"/>
            <color indexed="81"/>
            <rFont val="Tahoma"/>
            <family val="2"/>
          </rPr>
          <t xml:space="preserve">USUARIO:Este pago fue incluido en la legalizacion 1 y 2 el valor de $117.010.060.  (para ajustar el valor total de la legalizaciòn) Y en los que se van a legalizar el valor de $700.970.964
</t>
        </r>
      </text>
    </comment>
    <comment ref="DZ64" authorId="0" shapeId="0" xr:uid="{00000000-0006-0000-0100-000006000000}">
      <text>
        <r>
          <rPr>
            <b/>
            <sz val="9"/>
            <color indexed="81"/>
            <rFont val="Tahoma"/>
            <family val="2"/>
          </rPr>
          <t>SERVIDOR:</t>
        </r>
        <r>
          <rPr>
            <sz val="9"/>
            <color indexed="81"/>
            <rFont val="Tahoma"/>
            <family val="2"/>
          </rPr>
          <t xml:space="preserve">
SE TERMINO PAGANDO $107 MENOS.
</t>
        </r>
      </text>
    </comment>
    <comment ref="F70" authorId="0" shapeId="0" xr:uid="{00000000-0006-0000-0100-000007000000}">
      <text>
        <r>
          <rPr>
            <b/>
            <sz val="9"/>
            <color indexed="81"/>
            <rFont val="Tahoma"/>
            <family val="2"/>
          </rPr>
          <t>SERVIDOR:</t>
        </r>
        <r>
          <rPr>
            <sz val="9"/>
            <color indexed="81"/>
            <rFont val="Tahoma"/>
            <family val="2"/>
          </rPr>
          <t xml:space="preserve">
</t>
        </r>
        <r>
          <rPr>
            <b/>
            <i/>
            <sz val="9"/>
            <color indexed="60"/>
            <rFont val="Tahoma"/>
            <family val="2"/>
          </rPr>
          <t xml:space="preserve">SOLICITUD PRIMER DESEMBOLSO CAF </t>
        </r>
        <r>
          <rPr>
            <sz val="9"/>
            <color indexed="81"/>
            <rFont val="Tahoma"/>
            <family val="2"/>
          </rPr>
          <t xml:space="preserve">
</t>
        </r>
      </text>
    </comment>
    <comment ref="BC70" authorId="0" shapeId="0" xr:uid="{00000000-0006-0000-0100-000008000000}">
      <text>
        <r>
          <rPr>
            <b/>
            <sz val="9"/>
            <color indexed="81"/>
            <rFont val="Tahoma"/>
            <family val="2"/>
          </rPr>
          <t>SERVIDOR:</t>
        </r>
        <r>
          <rPr>
            <sz val="9"/>
            <color indexed="81"/>
            <rFont val="Tahoma"/>
            <family val="2"/>
          </rPr>
          <t xml:space="preserve">
PRIMER DESEMBOLSO CAF
</t>
        </r>
      </text>
    </comment>
    <comment ref="BF75" authorId="0" shapeId="0" xr:uid="{00000000-0006-0000-0100-000009000000}">
      <text>
        <r>
          <rPr>
            <b/>
            <sz val="9"/>
            <color indexed="81"/>
            <rFont val="Tahoma"/>
            <family val="2"/>
          </rPr>
          <t>SERVIDOR:</t>
        </r>
        <r>
          <rPr>
            <sz val="9"/>
            <color indexed="81"/>
            <rFont val="Tahoma"/>
            <family val="2"/>
          </rPr>
          <t xml:space="preserve">
Este pago se fondeó con recursos Municipio, pero la fuente el Nación-CAF, incluido en solicitud de desembolso 2013 Nación-CAF.
</t>
        </r>
        <r>
          <rPr>
            <b/>
            <sz val="9"/>
            <color indexed="81"/>
            <rFont val="Tahoma"/>
            <family val="2"/>
          </rPr>
          <t>SE REINTEGRÓ EN SEPT/2014</t>
        </r>
      </text>
    </comment>
    <comment ref="CE97" authorId="2" shapeId="0" xr:uid="{00000000-0006-0000-0100-00000A000000}">
      <text>
        <r>
          <rPr>
            <b/>
            <sz val="9"/>
            <color indexed="81"/>
            <rFont val="Tahoma"/>
            <family val="2"/>
          </rPr>
          <t>USUARIO:</t>
        </r>
        <r>
          <rPr>
            <sz val="9"/>
            <color indexed="81"/>
            <rFont val="Tahoma"/>
            <family val="2"/>
          </rPr>
          <t xml:space="preserve">
EL VALOR TOTAL DE ESTE PAGO ES POR $1.436.808.124,
DISTRIBUIDO ENTRE MAYO Y JUNIO YA QUE SE TOMÓ EL VALOR DE $1.284.308.049,11 PARA LA LEGALIZACION DEL DESEMBOLSO CAF 2015 - PARA LLEGAR AL TOTAL DE $18.789 MILLONES. 
Y EL SALDO PARA LA LEGALIZACION DESEMBOLSO 2016 (RELACIONADO EN EL MES DE JUNIO POR $152.500.075).
</t>
        </r>
      </text>
    </comment>
    <comment ref="BJ108" authorId="0" shapeId="0" xr:uid="{00000000-0006-0000-0100-00000B000000}">
      <text>
        <r>
          <rPr>
            <b/>
            <sz val="9"/>
            <color indexed="81"/>
            <rFont val="Tahoma"/>
            <family val="2"/>
          </rPr>
          <t>SERVIDOR:</t>
        </r>
        <r>
          <rPr>
            <sz val="9"/>
            <color indexed="81"/>
            <rFont val="Tahoma"/>
            <family val="2"/>
          </rPr>
          <t xml:space="preserve">
ACTUALIZAR EN PLAN DE ADQ
</t>
        </r>
      </text>
    </comment>
    <comment ref="BJ112" authorId="0" shapeId="0" xr:uid="{00000000-0006-0000-0100-00000C000000}">
      <text>
        <r>
          <rPr>
            <b/>
            <sz val="9"/>
            <color indexed="81"/>
            <rFont val="Tahoma"/>
            <family val="2"/>
          </rPr>
          <t>SERVIDOR:</t>
        </r>
        <r>
          <rPr>
            <sz val="9"/>
            <color indexed="81"/>
            <rFont val="Tahoma"/>
            <family val="2"/>
          </rPr>
          <t xml:space="preserve">
ACTUALIZAR EN PLAN DE ADQ
</t>
        </r>
      </text>
    </comment>
    <comment ref="BK117" authorId="0" shapeId="0" xr:uid="{00000000-0006-0000-0100-00000D000000}">
      <text>
        <r>
          <rPr>
            <b/>
            <sz val="9"/>
            <color indexed="81"/>
            <rFont val="Tahoma"/>
            <family val="2"/>
          </rPr>
          <t>SERVIDOR:</t>
        </r>
        <r>
          <rPr>
            <sz val="9"/>
            <color indexed="81"/>
            <rFont val="Tahoma"/>
            <family val="2"/>
          </rPr>
          <t xml:space="preserve">
ACTUALIZA PLAN DE ADQ
</t>
        </r>
      </text>
    </comment>
    <comment ref="CP124" authorId="1" shapeId="0" xr:uid="{00000000-0006-0000-0100-00000E000000}">
      <text>
        <r>
          <rPr>
            <b/>
            <sz val="9"/>
            <color indexed="81"/>
            <rFont val="Tahoma"/>
            <family val="2"/>
          </rPr>
          <t xml:space="preserve">Financi: DeL  total pagado en abril-17, se toma el valor de $450.994.487,11
para la legalización caf -desembolsos aportes 2016 por $12.700 millones
*INCLUIR PARA NUEVA SOLICITUD LA DIFERENCIA ES DECIR LA SUMA DE $670.542.253,89
</t>
        </r>
      </text>
    </comment>
    <comment ref="CV130" authorId="1" shapeId="0" xr:uid="{00000000-0006-0000-0100-00000F000000}">
      <text>
        <r>
          <rPr>
            <b/>
            <sz val="9"/>
            <color indexed="81"/>
            <rFont val="Tahoma"/>
            <family val="2"/>
          </rPr>
          <t xml:space="preserve">En este valor se incluye, $1.439.793.902 en la solicitud del primer desembolso 2017.
</t>
        </r>
      </text>
    </comment>
    <comment ref="D385" authorId="3" shapeId="0" xr:uid="{00000000-0006-0000-0100-000010000000}">
      <text>
        <r>
          <rPr>
            <b/>
            <sz val="9"/>
            <color indexed="81"/>
            <rFont val="Tahoma"/>
            <family val="2"/>
          </rPr>
          <t>Diferencia entre poa y plan de adquisiciones</t>
        </r>
        <r>
          <rPr>
            <sz val="9"/>
            <color indexed="81"/>
            <rFont val="Tahoma"/>
            <family val="2"/>
          </rPr>
          <t xml:space="preserve">
</t>
        </r>
      </text>
    </comment>
  </commentList>
</comments>
</file>

<file path=xl/sharedStrings.xml><?xml version="1.0" encoding="utf-8"?>
<sst xmlns="http://schemas.openxmlformats.org/spreadsheetml/2006/main" count="4340" uniqueCount="689">
  <si>
    <t>Comentarios</t>
  </si>
  <si>
    <t>OBRAS</t>
  </si>
  <si>
    <t>Unidad Ejecutora :</t>
  </si>
  <si>
    <t>Nombre del Contrato :</t>
  </si>
  <si>
    <t>Descripción adicional :</t>
  </si>
  <si>
    <t>Cantidad de Lotes :</t>
  </si>
  <si>
    <t>Monto Estimado, en u$s :</t>
  </si>
  <si>
    <t>Fechas (En caso de no aplicar poner (N/A)</t>
  </si>
  <si>
    <t>Oferente</t>
  </si>
  <si>
    <t>Precio de las ofertas (en Moneda ####)</t>
  </si>
  <si>
    <t>Documento de Licitación</t>
  </si>
  <si>
    <t>No Objeción Documentos</t>
  </si>
  <si>
    <t>Publicación</t>
  </si>
  <si>
    <t>Apertura</t>
  </si>
  <si>
    <t>Evaluación</t>
  </si>
  <si>
    <t>No Objeción Evaluación</t>
  </si>
  <si>
    <t>Firma del Contrato</t>
  </si>
  <si>
    <t>Fin del Contrato (cumplido)</t>
  </si>
  <si>
    <t>Estimada</t>
  </si>
  <si>
    <t>Real</t>
  </si>
  <si>
    <t>BIENES</t>
  </si>
  <si>
    <t>Detalle</t>
  </si>
  <si>
    <t>Integrantes de la Lista Corta</t>
  </si>
  <si>
    <t>Puntaje técnico asignado</t>
  </si>
  <si>
    <t>Propuesta económica evaluada (en Moneda ####)</t>
  </si>
  <si>
    <t>Puntaje final asignado</t>
  </si>
  <si>
    <t>Aviso de Expresiones de Interés</t>
  </si>
  <si>
    <t>Evaluación Técnica</t>
  </si>
  <si>
    <t>No Objeción Evaluación Técnica</t>
  </si>
  <si>
    <t>Evaluación Final y Negociación</t>
  </si>
  <si>
    <t>No Objeción al Contrato</t>
  </si>
  <si>
    <t>Cantidad Estimada de Consultores :</t>
  </si>
  <si>
    <t>Nombre del Consultor</t>
  </si>
  <si>
    <t>Período Desde</t>
  </si>
  <si>
    <t>Hasta</t>
  </si>
  <si>
    <t>Cargo</t>
  </si>
  <si>
    <t>No Objeción a los TdR de la Actividad</t>
  </si>
  <si>
    <t>Fin de las Contrataciones</t>
  </si>
  <si>
    <t>Fecha Fin de la Actividad</t>
  </si>
  <si>
    <t>Monto (en Moneda ####)</t>
  </si>
  <si>
    <t>Plan de Capacitación Anual (PCA)</t>
  </si>
  <si>
    <t>No Objeción a PCA</t>
  </si>
  <si>
    <t>Fin de la Actividad</t>
  </si>
  <si>
    <t>SUBPROYECTOS</t>
  </si>
  <si>
    <t>Objeto de la Transferencia :</t>
  </si>
  <si>
    <t>Cantidad Estimada de Subproyectos:</t>
  </si>
  <si>
    <t>Fecha de 
Transferencia</t>
  </si>
  <si>
    <t xml:space="preserve">  </t>
  </si>
  <si>
    <t>Servicios de no consultoría</t>
  </si>
  <si>
    <t>Comparación de precios </t>
  </si>
  <si>
    <t>Licitación Pública Nacional </t>
  </si>
  <si>
    <t>Contratación Directa </t>
  </si>
  <si>
    <t>Licitación Pública Internacional </t>
  </si>
  <si>
    <t>Licitación Pública Internacional con Precalificación</t>
  </si>
  <si>
    <t>Licitación Pública Internacional en 2 etapas </t>
  </si>
  <si>
    <t>Licitación Pública Internacional por Lotes </t>
  </si>
  <si>
    <t>Selección basada en el menor costo </t>
  </si>
  <si>
    <t>Selección Basada en la Calidad y Costo </t>
  </si>
  <si>
    <t>Selección basada en las calificaciones de los consultores</t>
  </si>
  <si>
    <t>Selección Basado en Presupuesto Fijo </t>
  </si>
  <si>
    <t>Bienes </t>
  </si>
  <si>
    <t>Adquisición de Bienes</t>
  </si>
  <si>
    <t>Adquisición de Bienes - Sector Salud</t>
  </si>
  <si>
    <t>Adquisición de Servicios de no consultoría</t>
  </si>
  <si>
    <t>Servicios de No Consultoría </t>
  </si>
  <si>
    <t>Comparación de Precios para Bienes</t>
  </si>
  <si>
    <t>Comparación de Precios para Obras</t>
  </si>
  <si>
    <t>Obras </t>
  </si>
  <si>
    <t>Contratación de Obras Menores</t>
  </si>
  <si>
    <t>Doc. de precalificación para construcción de obras</t>
  </si>
  <si>
    <t>Especificaciones Técnicas</t>
  </si>
  <si>
    <t>Consultoría - Firmas </t>
  </si>
  <si>
    <t>Suministro e instalación de plantas y equipos</t>
  </si>
  <si>
    <t>Suministro e instalación de sist. de información</t>
  </si>
  <si>
    <t>Términos de Referencia</t>
  </si>
  <si>
    <t>Llave en mano</t>
  </si>
  <si>
    <t>Precios Unitarios</t>
  </si>
  <si>
    <t>Suma alzada</t>
  </si>
  <si>
    <t>Suma global</t>
  </si>
  <si>
    <t>Previsto</t>
  </si>
  <si>
    <t>Proceso en curso</t>
  </si>
  <si>
    <t>Relicitación</t>
  </si>
  <si>
    <t>Proceso Cancelado</t>
  </si>
  <si>
    <t>Declaración de Licitación Desierta</t>
  </si>
  <si>
    <t>Rechazo de Ofertas</t>
  </si>
  <si>
    <t>Contrato En Ejecución</t>
  </si>
  <si>
    <t>Contrato Terminado</t>
  </si>
  <si>
    <t>Región</t>
  </si>
  <si>
    <t>SERVICIOS DE NO CONSULTORÍA</t>
  </si>
  <si>
    <t>CONSULTORÍAS FIRMAS</t>
  </si>
  <si>
    <t>CONSULTORÍAS INDIVIDUOS</t>
  </si>
  <si>
    <t>CAPACITACIÓN</t>
  </si>
  <si>
    <t>Firma del Contrato / Convenio por Adjudicación de los Subproyectos</t>
  </si>
  <si>
    <t>Número de Proceso:</t>
  </si>
  <si>
    <t>SEP y Lista Corta</t>
  </si>
  <si>
    <t>No Objeción a SEP y Lista Corta</t>
  </si>
  <si>
    <t>Emisión del SEP</t>
  </si>
  <si>
    <t>Selección Basada en la Calidad </t>
  </si>
  <si>
    <t>Tiempo Trabajado</t>
  </si>
  <si>
    <t>Sín</t>
  </si>
  <si>
    <t>Con</t>
  </si>
  <si>
    <t>Total</t>
  </si>
  <si>
    <t>Componente Asociado :</t>
  </si>
  <si>
    <t>INFORMACIÓN PARA CARGA INICIAL DEL PLAN DE ADQUISICIONES (EN CURSO Y/O ULTIMO PRESENTADO)</t>
  </si>
  <si>
    <t>Contratación de Obras Mayores</t>
  </si>
  <si>
    <t>Comparación de Calificaciones</t>
  </si>
  <si>
    <t>Solicitud de Propuestas y Términos de Referencia</t>
  </si>
  <si>
    <t>Componete (si aplica)</t>
  </si>
  <si>
    <t xml:space="preserve">División Política del País (Región / Departamento / Jurisdicción, Provincia) </t>
  </si>
  <si>
    <t>3CV</t>
  </si>
  <si>
    <t>MONTERIA CIUDAD AMABLE S.A.S</t>
  </si>
  <si>
    <t>MONTERÍA</t>
  </si>
  <si>
    <t>RECONSTRUCCIÓN DEL PAVIMENTO RÍGIDO DE ANDENES Y ESPACIO PÚBLICO DE LA AVENIDA CIRCUNVALAR   ENTRE CALLE 29 Y CALLE 13 PERTENECIENTE AL SISTEMA ESTRATÉGICO DE TRANSPORTE PÚBLICO "SETP" DE LA CIUDAD DE MONTERÍA</t>
  </si>
  <si>
    <t>SEGUNDA FASE PARA LA CONSTRUCCION EN PAVIMENTO RÍGIDO DE LA DIAGONAL 2E DESDE LA TRANVERSAL 9 (ESTADIO EUGENIO VALDEZ DEL PRADO) HASTA EL CEMENTERIO DEL P5 [ID – 106] CON  EL INTERCAMBIADOR VIAL [IV2] Y LA  PAVIMENTACION EN CONCRETO RIGIDO DE LA DIAGONAL 8F  ENTRE LA CALLE 4 Y LA CALLE 6 SUR, BARRIO ALFONSO LOPEZ [ID 120-121]. PERTENECIENTE AL SISTEMA ESTRATEGICO DE TRANSPORTE PUBLICO "SETP" DE LA CIUDAD DE MONTERIA.</t>
  </si>
  <si>
    <t>CONSTRUCCION DE CUATRO PUENTES PEATONALES EN: AVENIDA CIRCUNVALAR CON CARRERA 3W. (P.P 1), AVENIDA CIRCUNVALAR CON CALLE 23. (P.P 2), AVENIDA CIRCUNVALAR CON CARRERA 2. (P.P 4) Y AVENIDA CIRCUNVALAR CON CALLE 95. (P.P 5)  Y CONSTRUCCION DEL INTERCAMBIADOR VIAL (IV 1) EN LA AVENIDA CIRCUNVALAR CON CARRERA 1W,  PERTENECIENTES AL SISTEMA ESTRATEGICO DE TRANSPORTE PUBLICO "SETP" DE LA CIUDAD DE MONTERIA.</t>
  </si>
  <si>
    <t>REHABILITACION, MANTENIMIENTO DEL PAVIMENTO EN CONCRETO RIGIDO, ANDENES Y ESPACIO PUBLICO DE LA TRANSVERSAL 9 DESDE LA CALLE 5 HASTA LA DIAGONAL 12  (ID 91) PERTENECIENTE AL SISTEMA ESTRATEGICO DE TRANSPORTE PUBLICO "SETP" DE LA CIUDAD DE MONTERIA</t>
  </si>
  <si>
    <t>RECONSTRUCCIÓN DEL PAVIMENTO RÍGIDO, ANDENES Y ESPACIO PÚBLICO DE LA CALLE 24 ENTRE AVENIDA PRIMERA Y AVENIDA CIRCUNVALAR [ID 131-219]. PERTENECIENTE AL SISTEMA ESTRATEGICO DE TRANSPORTE PUBLICO "SETP" DE LA CIUDAD DE MONTERIA</t>
  </si>
  <si>
    <t>LP 001-2011</t>
  </si>
  <si>
    <t>LP 002-2011</t>
  </si>
  <si>
    <t>LP 004-2011</t>
  </si>
  <si>
    <t>LP 005-2011</t>
  </si>
  <si>
    <t>LP 006-2011</t>
  </si>
  <si>
    <t>N/A</t>
  </si>
  <si>
    <t>CONSORCIO MONTERIA AVENIDA PRIMERA</t>
  </si>
  <si>
    <t>CONSORCIO VÍAS URBANAS MONTERIA 2011</t>
  </si>
  <si>
    <t>CONSORCIO EQUIVIAS</t>
  </si>
  <si>
    <t>CONSORCIO CIRCUNVALAR DEL SUR</t>
  </si>
  <si>
    <t>MONTERÍA CIUDAD AMABLE S.A.S.</t>
  </si>
  <si>
    <t>CÓRDOBA</t>
  </si>
  <si>
    <t>INTERVENTORIA TÉCNICA, ADMINISTRATIVA, FINANCIERA Y AMBIENTAL A LOS CONTRATOS CUYOS OBJETOS SON: RECONSTRUCCIÓN DEL PAVIMIENTO RIGIDO, ANDENES Y ESPACIO PUBLICO DE LA CALLE 24 ENTRE AVENIDA PRIMERA Y AVENIDA CIRCUNVALAR, ID (131-219). Y LA REHABILITACIÓN, MANTENIMIENTO DEL PAVIMENTO EN CONCRETO RÍGIDO, ANDENES Y ESPACIO PÚBLICO DE LA TRANSVERSAL 9 DESDE LA CALLE 5 HASTA LA DIAGONAL 12 (ID91) PERTENECIENTE AL SISTEMA ESTRATEGICO DE TRANSPORTE PUBLICO DE PASAJERO "SETP" DE LA CIUDAD DE MONTERIA</t>
  </si>
  <si>
    <t xml:space="preserve">INTERVENTORÍA TECNICA, ADMINISTRATIVA, FINANCIERA Y AMBIENTAL AL CONTRATO QUE TIENE POR OBJETO LA PAVIMENTACION EN CONCRETO RIGUIDO DE LA CARRERA 1 ENTRE LA CALLE 35 Y LA AVENIDA CIRCUNVALAR PERTENECIENTES AL SISTEMA ESTRATEGICO DE TRANSPORTE PUBLICO "SETP" DE LA CIUDAD DE MONTERIA </t>
  </si>
  <si>
    <t>INTERVENTORÍA TECNICA, ADMINISTRATIVA, FINANCIERA Y AMBIENTAL AL CONTRATO CUYO OBJETO ES LA PAVIMENTACION EN CONCRETO RIGIDO DE LAS CARRERAS 4 Y 5 ENTRE LA CALLE 41 Y LA AVENIDA CIRCUNVALAR SUR Y LA RECONSTRUCCIÓN DEL PAVIMENTO RÍGIDO, ANDENES Y ESPACIO PÚBLICO DE LA AV CIRCUNVALAR ENTRE CALLE 29 Y CALLE 13 PERTENECIENTES AL SISTEMA ESTRATEGICO DE TRANSPORTE PÚBLICO DEL  MUNICIPIO DE MONTERIA</t>
  </si>
  <si>
    <t>INTERVENTORÍA TECNICA, ADMINISTRATIVA, FINANCIERA Y AMBIENTAL AL CONTRATO CUYO OBJETO ES CONSTRUCCION DE CUATRO PUENTES PEATONALES EN: AVENIDA CIRCUNVALAR CON CARRERA 3W. (P.P 1), AVENIDA CIRCUNVALAR CON CALLE 23. (P.P 2), AVENIDA CIRCUNVALAR CON CARRERA 2. (P.P 4) Y AVENIDA CIRCUNVALAR CON CALLE 95. (P.P 5)  Y CONSTRUCCION DEL INTERCAMBIADOR VIAL (IV 1) EN LA AVENIDA CIRCUNVALAR CON CARRERA 1W,  PERTENECIENTES AL SISTEMA ESTRATEGICO DE TRANSPORTE PUBLICO "SETP" DE LA CIUDAD DE MONTERIA.</t>
  </si>
  <si>
    <r>
      <t xml:space="preserve">Método de Selección/Adquisición
</t>
    </r>
    <r>
      <rPr>
        <i/>
        <sz val="10"/>
        <color indexed="9"/>
        <rFont val="Calibri"/>
        <family val="2"/>
        <scheme val="minor"/>
      </rPr>
      <t>(Seleccionar una de las opciones)</t>
    </r>
    <r>
      <rPr>
        <sz val="10"/>
        <color indexed="9"/>
        <rFont val="Calibri"/>
        <family val="2"/>
        <scheme val="minor"/>
      </rPr>
      <t>:</t>
    </r>
  </si>
  <si>
    <r>
      <t xml:space="preserve">Documento Base 
</t>
    </r>
    <r>
      <rPr>
        <i/>
        <sz val="10"/>
        <color indexed="9"/>
        <rFont val="Calibri"/>
        <family val="2"/>
        <scheme val="minor"/>
      </rPr>
      <t>(Seleccionar una de las opciones)</t>
    </r>
    <r>
      <rPr>
        <sz val="10"/>
        <color indexed="9"/>
        <rFont val="Calibri"/>
        <family val="2"/>
        <scheme val="minor"/>
      </rPr>
      <t>:</t>
    </r>
  </si>
  <si>
    <r>
      <t xml:space="preserve">Tipo de Contrato </t>
    </r>
    <r>
      <rPr>
        <i/>
        <sz val="10"/>
        <color indexed="9"/>
        <rFont val="Calibri"/>
        <family val="2"/>
        <scheme val="minor"/>
      </rPr>
      <t>(Seleccionar una de las opciones)</t>
    </r>
    <r>
      <rPr>
        <sz val="10"/>
        <color indexed="9"/>
        <rFont val="Calibri"/>
        <family val="2"/>
        <scheme val="minor"/>
      </rPr>
      <t>:</t>
    </r>
  </si>
  <si>
    <r>
      <t xml:space="preserve">Revisión Expost </t>
    </r>
    <r>
      <rPr>
        <i/>
        <sz val="10"/>
        <color indexed="9"/>
        <rFont val="Calibri"/>
        <family val="2"/>
        <scheme val="minor"/>
      </rPr>
      <t>(Seleccionar una de las opciones)</t>
    </r>
    <r>
      <rPr>
        <sz val="10"/>
        <color indexed="9"/>
        <rFont val="Calibri"/>
        <family val="2"/>
        <scheme val="minor"/>
      </rPr>
      <t>:</t>
    </r>
  </si>
  <si>
    <r>
      <t xml:space="preserve">Estado del Proceso </t>
    </r>
    <r>
      <rPr>
        <i/>
        <sz val="10"/>
        <color indexed="9"/>
        <rFont val="Calibri"/>
        <family val="2"/>
        <scheme val="minor"/>
      </rPr>
      <t>(Seleccionar una de las opciones)</t>
    </r>
    <r>
      <rPr>
        <sz val="10"/>
        <color indexed="9"/>
        <rFont val="Calibri"/>
        <family val="2"/>
        <scheme val="minor"/>
      </rPr>
      <t>:</t>
    </r>
  </si>
  <si>
    <r>
      <t xml:space="preserve">Método de Adquisición
</t>
    </r>
    <r>
      <rPr>
        <i/>
        <sz val="10"/>
        <color indexed="9"/>
        <rFont val="Calibri"/>
        <family val="2"/>
        <scheme val="minor"/>
      </rPr>
      <t>(Seleccionar una de las opciones)</t>
    </r>
    <r>
      <rPr>
        <sz val="10"/>
        <color indexed="9"/>
        <rFont val="Calibri"/>
        <family val="2"/>
        <scheme val="minor"/>
      </rPr>
      <t>:</t>
    </r>
  </si>
  <si>
    <r>
      <t xml:space="preserve">Tipo de Contrato 
</t>
    </r>
    <r>
      <rPr>
        <i/>
        <sz val="10"/>
        <color indexed="9"/>
        <rFont val="Calibri"/>
        <family val="2"/>
        <scheme val="minor"/>
      </rPr>
      <t>(Seleccionar una de las opciones)</t>
    </r>
    <r>
      <rPr>
        <sz val="10"/>
        <color indexed="9"/>
        <rFont val="Calibri"/>
        <family val="2"/>
        <scheme val="minor"/>
      </rPr>
      <t>:</t>
    </r>
  </si>
  <si>
    <t>UT INTERVIA 2011</t>
  </si>
  <si>
    <t>CM 002 - 2011</t>
  </si>
  <si>
    <t>CM 001-2011</t>
  </si>
  <si>
    <t>CM 005 - 2011</t>
  </si>
  <si>
    <t>CM 004 - 2011</t>
  </si>
  <si>
    <t>CM 007 - 2011</t>
  </si>
  <si>
    <t>1.CONSORCIO GMA    2.CONSORCIO INGAT</t>
  </si>
  <si>
    <t>PATIO 1</t>
  </si>
  <si>
    <t>PATIO 2</t>
  </si>
  <si>
    <t>PATIO 3</t>
  </si>
  <si>
    <t>PATIO 4</t>
  </si>
  <si>
    <t>LP 009-2011</t>
  </si>
  <si>
    <t>LP 008-2011</t>
  </si>
  <si>
    <t>CONSORCIO CALLE 24</t>
  </si>
  <si>
    <t>UNION TEMPORAL MONTERÍA SIGLO XX</t>
  </si>
  <si>
    <t xml:space="preserve">UNION TEMPORAL PAVIMENTAMOS </t>
  </si>
  <si>
    <t>ID</t>
  </si>
  <si>
    <t>223-224-225</t>
  </si>
  <si>
    <t xml:space="preserve"> </t>
  </si>
  <si>
    <t>125-126-127-128-129-130</t>
  </si>
  <si>
    <t>Adquisición</t>
  </si>
  <si>
    <t>106-120-121-IV2</t>
  </si>
  <si>
    <t>PP1-PP2-PP4-PP5-IV1</t>
  </si>
  <si>
    <t>92-93-94-95-117-118-IV 4-226-227-228</t>
  </si>
  <si>
    <t>97-98-99</t>
  </si>
  <si>
    <t>131-219</t>
  </si>
  <si>
    <t>PV2</t>
  </si>
  <si>
    <t>Sistema de Control SETPC y Señalética</t>
  </si>
  <si>
    <t>226-227-228</t>
  </si>
  <si>
    <t>220 - 221 - 222</t>
  </si>
  <si>
    <t>PV1</t>
  </si>
  <si>
    <t>Ptn1</t>
  </si>
  <si>
    <t>Ptn2</t>
  </si>
  <si>
    <t>Ptn3</t>
  </si>
  <si>
    <t>Ptn4</t>
  </si>
  <si>
    <t>Ptn5</t>
  </si>
  <si>
    <t>PEP1</t>
  </si>
  <si>
    <t>PEP2</t>
  </si>
  <si>
    <t>PEP4</t>
  </si>
  <si>
    <t>PEP5</t>
  </si>
  <si>
    <t>PEP12</t>
  </si>
  <si>
    <t>PEP15</t>
  </si>
  <si>
    <t>PEP16</t>
  </si>
  <si>
    <t>PD1</t>
  </si>
  <si>
    <t>PD2</t>
  </si>
  <si>
    <t>PD3</t>
  </si>
  <si>
    <t>PD4</t>
  </si>
  <si>
    <t>PD5</t>
  </si>
  <si>
    <t>PD6</t>
  </si>
  <si>
    <t>IV5</t>
  </si>
  <si>
    <t>IV6</t>
  </si>
  <si>
    <t>Pat1</t>
  </si>
  <si>
    <t>Pat2</t>
  </si>
  <si>
    <t>Pat3</t>
  </si>
  <si>
    <t>Pat4</t>
  </si>
  <si>
    <t>5-125-126-127-128-129-130</t>
  </si>
  <si>
    <t>91- 131 - 219</t>
  </si>
  <si>
    <t>Base (Millones)</t>
  </si>
  <si>
    <t>POA MONTERIA CIUDAD AMABLE S.A.S.</t>
  </si>
  <si>
    <t>INGRESOS</t>
  </si>
  <si>
    <t>CORRIENTES</t>
  </si>
  <si>
    <t>Fuentes</t>
  </si>
  <si>
    <t>TOTAL</t>
  </si>
  <si>
    <t xml:space="preserve">Aportes Nación </t>
  </si>
  <si>
    <t>Aportes MUNICIPIO</t>
  </si>
  <si>
    <t xml:space="preserve">SUBTOTAL </t>
  </si>
  <si>
    <t>ACUMULADO</t>
  </si>
  <si>
    <t>VALOR</t>
  </si>
  <si>
    <t>OBJETO</t>
  </si>
  <si>
    <t>PAVIMENTACION EN CONCRETO RIGIDO DE LA CARRERA 1 ENTRE LA CALLE 35 Y LA AVENIDA CIRCUNVALAR PERTENECIENTES AL SISTEMA ESTRATEGICO DE TRANSPORTE PUBLICO "SETP" DE LA CIUDAD DE MONTERIA</t>
  </si>
  <si>
    <t>Aportes Nación</t>
  </si>
  <si>
    <t>AportesMunicipio</t>
  </si>
  <si>
    <t>IV 3</t>
  </si>
  <si>
    <t xml:space="preserve">Acumulado </t>
  </si>
  <si>
    <t>Ingresos Aportes Nación</t>
  </si>
  <si>
    <t>Ingresos Aportes Municipio</t>
  </si>
  <si>
    <t>TOTAL APORTES</t>
  </si>
  <si>
    <t>Obras Nación</t>
  </si>
  <si>
    <t>Obras Municipio</t>
  </si>
  <si>
    <t>TOTAL OBRAS</t>
  </si>
  <si>
    <t>Flujo de Obra:ingresos- obras</t>
  </si>
  <si>
    <t>Creditos</t>
  </si>
  <si>
    <t>Intereses</t>
  </si>
  <si>
    <t>Amortizaciones</t>
  </si>
  <si>
    <t>Flujo Neto</t>
  </si>
  <si>
    <t>Caja que viene</t>
  </si>
  <si>
    <t>FLUJO FINAL</t>
  </si>
  <si>
    <t>TABLA DE AMORTIZACIÓN</t>
  </si>
  <si>
    <t>Credito Nuevo</t>
  </si>
  <si>
    <t>Saldo de Credito</t>
  </si>
  <si>
    <t>Cuota</t>
  </si>
  <si>
    <t>CORRIENTES ANUAL</t>
  </si>
  <si>
    <t>Ingresos Aportes municipio</t>
  </si>
  <si>
    <t xml:space="preserve">Obras rec Nación </t>
  </si>
  <si>
    <t>Obras rec Municipio</t>
  </si>
  <si>
    <t>Nuevos Creditos</t>
  </si>
  <si>
    <t>CONSTANTES 2010</t>
  </si>
  <si>
    <t>TOTAL OBRAS MAS INTERESES</t>
  </si>
  <si>
    <t>PROYECCION IPC</t>
  </si>
  <si>
    <t>SERIE IPC INDICE 2007</t>
  </si>
  <si>
    <t>SERIE IPC INDICE 2008</t>
  </si>
  <si>
    <t>SERIE IPC INDICE 2009</t>
  </si>
  <si>
    <t>SERIE IPC INDICE 2010</t>
  </si>
  <si>
    <t>SERIE IPC INDICE 2011</t>
  </si>
  <si>
    <t>TRM PROMEDIO</t>
  </si>
  <si>
    <t>CONCEPTO (Componentes del proyecto)</t>
  </si>
  <si>
    <t>1 BIENES</t>
  </si>
  <si>
    <t>Predios y reasentamientos</t>
  </si>
  <si>
    <t xml:space="preserve"> 2 OBRAS</t>
  </si>
  <si>
    <t>Corredores Troncales</t>
  </si>
  <si>
    <t>Estaciones</t>
  </si>
  <si>
    <t>Espacio público</t>
  </si>
  <si>
    <t>Centro historico</t>
  </si>
  <si>
    <t>Pretroncales</t>
  </si>
  <si>
    <t>Relacionar ……</t>
  </si>
  <si>
    <t xml:space="preserve"> 3 INTERVENTORÍAS OBRAS</t>
  </si>
  <si>
    <t>TOTAL OBRAS (2 Y 3)</t>
  </si>
  <si>
    <t>COSTOS FINANCIEROS</t>
  </si>
  <si>
    <t>TOTAL PROYECTO</t>
  </si>
  <si>
    <t>x</t>
  </si>
  <si>
    <t xml:space="preserve">TABLA AMORTIZACION </t>
  </si>
  <si>
    <t xml:space="preserve">Prestamo </t>
  </si>
  <si>
    <t>Tasa</t>
  </si>
  <si>
    <t>DTF</t>
  </si>
  <si>
    <t>ATA</t>
  </si>
  <si>
    <t>Puntos</t>
  </si>
  <si>
    <t>Aportes Para K x Vigencias</t>
  </si>
  <si>
    <t>Efectivo Anual</t>
  </si>
  <si>
    <t>Trimestral</t>
  </si>
  <si>
    <t>DESEMBOLSOS</t>
  </si>
  <si>
    <t>Interes</t>
  </si>
  <si>
    <t>Abono K</t>
  </si>
  <si>
    <t>Saldo</t>
  </si>
  <si>
    <t>TOTALES</t>
  </si>
  <si>
    <t>TOTALES SERVICIO DEUDA POR VIGENCIA</t>
  </si>
  <si>
    <t>VIGENCIA</t>
  </si>
  <si>
    <t>INTERESES</t>
  </si>
  <si>
    <t>AMORTIZAC. CAPITAL</t>
  </si>
  <si>
    <t>Apoyo Técnico - Abogado Especializado - Coordinadora Área de Contratación</t>
  </si>
  <si>
    <t>Coordinador Área de Contratación</t>
  </si>
  <si>
    <t>Apoyo Técnico - Coordinador de Tránsito y Transporte</t>
  </si>
  <si>
    <t>Apoyo Técnico - Coordinador Administrativo y Financiero</t>
  </si>
  <si>
    <t>Apoyo Técncio - Ingeniero Civil</t>
  </si>
  <si>
    <t>Coordinador Tránsito y Transporte</t>
  </si>
  <si>
    <t>Coordinador Administrativo y Financiero</t>
  </si>
  <si>
    <t>Apoyo Técnico - Ingeniero Ambiental</t>
  </si>
  <si>
    <t xml:space="preserve"> Ingeniero Ambiental</t>
  </si>
  <si>
    <t>Apoyo - Técnico - Arquitecto</t>
  </si>
  <si>
    <t>Diseño, Implementación y aplicación del Plan  Ambiental del proyecto</t>
  </si>
  <si>
    <t xml:space="preserve"> Seguimiento adquisición de predios y supervisión de diseños y etapas técnicas procesos de las  obras del SETP.</t>
  </si>
  <si>
    <t xml:space="preserve">Ingeniero Civil </t>
  </si>
  <si>
    <t>Apoyo Técnico - Socióloga</t>
  </si>
  <si>
    <t>Arquitecto</t>
  </si>
  <si>
    <t>Socióloga</t>
  </si>
  <si>
    <t>Trabajadora Social</t>
  </si>
  <si>
    <t>Coordinación y Supervisión de los Procesos de Diseño y Construcción.   apoyo en los procesos de diseño urbano, diseño de espacio público y diseño arquitectónico, en el marco del SETP</t>
  </si>
  <si>
    <t>Sociólogo (a) para la elaboración del plan  de reasentamiento social para la implementación del SETP</t>
  </si>
  <si>
    <t>Apoyo Técnico - Trabajadora Social</t>
  </si>
  <si>
    <t>Acompañamiento y Apoyo como Trabajador Social para elaboración del plan de reasentamiento social.     Atención de la población en general con relación a las inquietudes, quejas, reclamos, peticiones y sugerencias a cerca del proyecto.</t>
  </si>
  <si>
    <t>Apoyo Técnico - Comunicador Social</t>
  </si>
  <si>
    <t>Comunicador Social</t>
  </si>
  <si>
    <t>Apoyo en la divulgación de los hechos y acontecimientos que genere la implementación del SETP</t>
  </si>
  <si>
    <t>Apoyo Técnico - Contador Externo</t>
  </si>
  <si>
    <t>Contador</t>
  </si>
  <si>
    <t>Apoyo Técnico - Abogado  - Contratación</t>
  </si>
  <si>
    <t>Abogado Especializado</t>
  </si>
  <si>
    <t>Abogado especialista en Derecho Administrativo para brindar apoyo jurídico.  Acompañamiento en temas contractuales y apoyo jurídico.</t>
  </si>
  <si>
    <t>Apoyos Técnico</t>
  </si>
  <si>
    <t>Coordinación, Asesoría y Acompañamiento a los Procesos Contractuales que requiera MONTERÍA CIUDAD AMABLE S.A.S</t>
  </si>
  <si>
    <t>Coordinación del componente de regulación, control planeación del Transporte Público en la implementación del Sistema Estratégico de Transporte Público en la ciudad de Montería</t>
  </si>
  <si>
    <t>Servicios Profesionales de Contador Público, con él, fin de ejercer función de Contador Externo de la sociedad MONTERÍA CIUDAD AMABLE S.A.S.</t>
  </si>
  <si>
    <t xml:space="preserve">GERENCIA DEL PROYECTO </t>
  </si>
  <si>
    <t>Total obras</t>
  </si>
  <si>
    <t>Total interventorías</t>
  </si>
  <si>
    <t>Cely Figueroa Banda</t>
  </si>
  <si>
    <t>Raúl Ramos Guerrero</t>
  </si>
  <si>
    <t>Sara Doria Sierra</t>
  </si>
  <si>
    <t>Juan Carlos Giraldo</t>
  </si>
  <si>
    <t>Luis Fernando Mendoza - Mauricio Benjumea Simancas</t>
  </si>
  <si>
    <t>Juan Gonzalo Bula - Gloria Bustamante Hernandez</t>
  </si>
  <si>
    <t>Anilda Lora Salcedo</t>
  </si>
  <si>
    <t>Ana Isabel Cogollo Velez - Martha Blanco Alvarez</t>
  </si>
  <si>
    <t>Carlos García Ordoñez</t>
  </si>
  <si>
    <t>Astrid Julio Alonso - Francisco Martinez Fajardo</t>
  </si>
  <si>
    <t>Paola Pereira Diaz - Yulquis Cogollo Cavadía</t>
  </si>
  <si>
    <t>CONSTRUCCIÓN  DEL INTERCAMBIADOR VIAL [IV-3] EN EL ESTADIO EUGENIO VALDES DEL PRADO, PERTENECIENTE AL SISTEMA ESTRATEGICO DE TRANSPORTE PUBLICO "SETP" DE LA CIUDAD DE MONTERIA</t>
  </si>
  <si>
    <t>CONSTRUCCIÓN  DEL PAVIMENTO RÍGIDO, ANDENES Y ESPACIO PÚBLICO DE LA CALLE 8 SUR DESDE VIA GUATEQUE A CASA JUSTICIA, TRANSVERSAL 12 DESDE CASA JUSTICIA HASTA LA CALLE 5; ID (97-98-99) Y LA CONSTRUCCIÓN DE TRES (3) PARADEROS CON ESPACIO PUBLICO, PERTENECIENTES AL SISTEMA ESTRATEGICO DE TRANSPORTE PUBLICO "SETP" DE LA CIUDAD DE MONTERIA</t>
  </si>
  <si>
    <t>CONTRUCCION DEL PUENTE VEHICULAR UBICADO EN LA AVENIDA CIRCUNVALAR CON CALLE 41</t>
  </si>
  <si>
    <t>202-211</t>
  </si>
  <si>
    <t>212-213</t>
  </si>
  <si>
    <t>214-215</t>
  </si>
  <si>
    <t>CONTRATO DE OBRA N° 01 - 03</t>
  </si>
  <si>
    <t>CONTRATO DE OBRA Nº 002 - 2011</t>
  </si>
  <si>
    <t>201-216</t>
  </si>
  <si>
    <t>CONTRATO DE OBRA N° 005 - 2010</t>
  </si>
  <si>
    <t>CONVENIO</t>
  </si>
  <si>
    <t>001 - 2011</t>
  </si>
  <si>
    <t>CM-006-2010</t>
  </si>
  <si>
    <t>PTN EN LA DIAGONAL 2E ENTRE TRANSVERSAL 9 Y EL CEMENTERIO DEL P5.</t>
  </si>
  <si>
    <t>DISEÑOS DEFINITIVOS.</t>
  </si>
  <si>
    <t>LP 001-2012</t>
  </si>
  <si>
    <t>UNION TEMPORAL VIAS DEL SUR</t>
  </si>
  <si>
    <t>CM 002 - 2012</t>
  </si>
  <si>
    <t>AÑO</t>
  </si>
  <si>
    <t>CONSORCIO ANILLO SUR MONTERÍA</t>
  </si>
  <si>
    <t>RECONSTRUCCION Y MANTENIMIENTO DEL PAVIMENTO RIGIDO, ANDENES Y ESPACIO PUBLICO DE LAS CARRERA 9 ENTRE DIAGONAL 12 HASTA LA CALLE 24 Y LA CALLE 22 DESDE LA CARRERA 9 HASTA LA CARRERA 9 [ID 92-93-94-95 ], CALLE 10 ENTRE CARRERA 3 Y TRANSVERSAL 9 [ID 118] CON EL INTERCAMBIADOR VIAL 4 [IV 4 - CARRERA 9 CON CALLE 10], CARRERA 3 ENTRE CALLE 10 Y AV CIRCUNVALAR SUR [ID 117]  Y SEGUNDA ETAPA PARA LA REPAVIMENTACIÓN DE LA CRA. 3RA. ENTRE CALLES 31 Y AVENIDA CIRCUNVALAR SUR [ID 226-227-228 ]. PERTENECIENTES AL SISTEMA ESTRATEGICO DE TRANSPORTE PUBLICO DE LA CIUDAD DE MONTERÍA.</t>
  </si>
  <si>
    <t>INTERVENTORÍA TECNICA, ADMINISTRATIVA, FINANCIERA Y AMBIENTAL A LA RECONSTRUCCION Y MANTENIMIENTO DEL PAVIMENTO RIGIDO, ANDENES Y ESPACIO PUBLICO DE LAS CARRERA 9 ENTRE DIAGONAL 12 HASTA LA CALLE 24 Y LA CALLE 22 DESDE LA CARRERA 9 HASTA LA CARRERA 9 [ID 92-93-94-95 ], CALLE 10 ENTRE CARRERA 3 Y TRANSVERSAL 9 [ID 118] CON EL INTERCAMBIADOR VIAL 4 [IV 4 - CARRERA 9 CON CALLE 10], CARRERA 3 ENTRE CALLE 10 Y AV CIRCUNVALAR SUR [ID 117]  Y SEGUNDA ETAPA PARA LA REPAVIMENTACIÓN DE LA CRA. 3RA. ENTRE CALLES 31 Y AVENIDA CIRCUNVALAR SUR [ID 226-227-228 ]. PERTENECIENTES AL SISTEMA ESTRATEGICO DE TRANSPORTE PUBLICO DE LA CIUDAD DE MONTERÍA.</t>
  </si>
  <si>
    <t>Eventos de Socialización del proyecto (Diseño de Imagen corporativa, Socialización, educación y cultura ciudadana para los usuarios y comunidad en general del Sistema) - Gerencia del Proyecto</t>
  </si>
  <si>
    <t>Adquisición Predios</t>
  </si>
  <si>
    <t>ADQUISICION PREDIOS</t>
  </si>
  <si>
    <t>Gerencia del Proyecto</t>
  </si>
  <si>
    <t>217-229-230</t>
  </si>
  <si>
    <t>204-205-206</t>
  </si>
  <si>
    <t>Par1-Par2-Par3-Par4</t>
  </si>
  <si>
    <t>PAVIMENTACION EN CONCRETO RIGIDO DE LA CARRERA 4 Y 5 ENTRE LA  CALLE 41 Y LA AVENIDA CIRCUNVALAR PERTENECIENTE AL SISTEMA ESTRATEGICO DE TRANSPORTE PUBLICO "SETP" DE LA CIUDAD DE MONTERIA</t>
  </si>
  <si>
    <t>Apoyo Técnico - Abogado - Adquisición Predios</t>
  </si>
  <si>
    <t xml:space="preserve">Alfonso C. Daza Martínez </t>
  </si>
  <si>
    <t>INTERVENTORÍA TECNICA, ADMINISTRATIVA, FINANCIERA Y AMBIENTAL AL CONTRATO: SEGUNDA FASE PARA LA CONSTRUCCION EN PAVIMENTO RÍGIDO DE LA DIAGONAL 2E DESDE LA TRANVERSAL 9 (ESTADIO EUGENIO VALDEZ DEL PRADO) HASTA EL CEMENTERIO DEL P5 [ID – 106] CON  EL INTERCAMBIADOR VIAL [IV2] Y LA  PAVIMENTACION EN CONCRETO RIGIDO DE LA DIAGONAL 8F  ENTRE LA CALLE 4 Y LA CALLE 6 SUR, BARRIO ALFONSO LOPEZ [ID 120-121]. PERTENECIENTE AL SISTEMA ESTRATEGICO DE TRANSPORTE PUBLICO "SETP" DE LA CIUDAD DE MONTERIA.</t>
  </si>
  <si>
    <t>5 PUENTES</t>
  </si>
  <si>
    <t>INTERSECCIONES</t>
  </si>
  <si>
    <t>FECHA PAGO FINAL</t>
  </si>
  <si>
    <t>MES-AÑO PAGO FINAL</t>
  </si>
  <si>
    <t>IV 3 - 97 - 98 - 99 - 220 - 221 - 222</t>
  </si>
  <si>
    <t>INTERVENTORÍA TÉCNICA, ADMINISTRATIVA, FINANCIERA Y AMBIENTAL A LOS CONTRATOS CUYOS OBJETOS SON: 1. CONSTRUCCIÓN  DEL PAVIMENTO RÍGIDO, ANDENES Y ESPACIO PÚBLICO DE LA CALLE 8 SUR DESDE VÍA GUATEQUE A CASA JUSTICIA, TRANSVERSAL 12 DESDE CASA JUSTICIA HASTA LA CALLE 5; ID (97-98-99), LA CONSTRUCCIÓN DE TRES (3) PARADEROS CON ESPACIO PUBLICO. 2. CONSTRUCCIÓN  DEL INTERCAMBIADOR VIAL [IV-3] EN EL ESTADIO EUGENIO VALDÉS DEL PRADO, PERTENECIENTES AL SISTEMA ESTRATÉGICO DE TRANSPORTE PUBLICO "SETP" DE LA CIUDAD DE MONTERÍA. 3. CONSTRUCCIÓN DEL PAVIMENTO RÍGIDO, ANDENES Y ESPACIO PÚBLICO DE LAS CALLES 21,22 Y 23 ENTRE CARRERAS 1 Y 5, ID (220-221-222). PERTENECIENTE AL SISTEMA ESTRATÉGICO DE TRANSPORTE PUBLICO "SETP" DE LA CIUDAD DE MONTERÍA.</t>
  </si>
  <si>
    <t>ANILLO COMFACOR</t>
  </si>
  <si>
    <t>CAMAJÓN</t>
  </si>
  <si>
    <t>ANILLO SUR (GUATEQUE)</t>
  </si>
  <si>
    <t>NOMBRE OBRA</t>
  </si>
  <si>
    <t>AVENIDA PRIMERA</t>
  </si>
  <si>
    <t>CRAS. 4 Y 5</t>
  </si>
  <si>
    <t xml:space="preserve"> CIRCUNVALAR</t>
  </si>
  <si>
    <t>P5 Y ALFONSO LÓPEZ</t>
  </si>
  <si>
    <t>PUENTES  PEATONALES E INTERCAMBIADOR MARGEN IZQUIERDA</t>
  </si>
  <si>
    <t>CALLE 24</t>
  </si>
  <si>
    <t xml:space="preserve">    INTERVENTORÍA AV. PRIMERA</t>
  </si>
  <si>
    <t>INTERVENTORÍA 4 Y 5</t>
  </si>
  <si>
    <t xml:space="preserve">   INTERVENTORÍA P5 Y ALFONSO LÓPEZ</t>
  </si>
  <si>
    <t>INTERVENTORÍA PUENTES  PEATONALES E INTERCAMBIADOR MARGEN IZQUIERDA</t>
  </si>
  <si>
    <t>INTERVENTORÍA ANILLO COMFACOR</t>
  </si>
  <si>
    <t>INTERCAMBIADOR ESTADIO - IV 3</t>
  </si>
  <si>
    <t>CALLE 29</t>
  </si>
  <si>
    <t>CALLE 28</t>
  </si>
  <si>
    <t>CALLE 26</t>
  </si>
  <si>
    <t>CALLES 21,22 Y 23</t>
  </si>
  <si>
    <t>PUENTE VEHICULAR CALLE 29</t>
  </si>
  <si>
    <t>PRIMERA ETAPA CRA.2</t>
  </si>
  <si>
    <t>PARADEROS</t>
  </si>
  <si>
    <t>PUNTO DE CENTRALIZACIÓN MOCARÍ</t>
  </si>
  <si>
    <t>PUNTO DE CENTRALIZACIÓN MARGEN IZQUIERDA</t>
  </si>
  <si>
    <t>PUNTO DE CENTRALIZACIÓN CANTA CLARO</t>
  </si>
  <si>
    <t>INTERVENTORÍA GUATEQUE, IV 3 Y CALLES 21-22-23</t>
  </si>
  <si>
    <t>INTERVENTORÍA PUENTE VEHICULAR CLE.29</t>
  </si>
  <si>
    <t>CONSULTORÍA DISEÑO CORREDORES VIALES</t>
  </si>
  <si>
    <t>CONSULTORÍA DISEÑO RUTAS Y TARIFAS</t>
  </si>
  <si>
    <t>INTERVENTORÍA PARADEROS</t>
  </si>
  <si>
    <t>INTERVENTORÍA PUNTO CENTRALIZACIÓN CANTA CLARO</t>
  </si>
  <si>
    <t>INTERVENTORÍA PUNTO CENTRALIZACIÓN MARGEN IZQUIERDA</t>
  </si>
  <si>
    <t>INTERVENTORÍA PUNTO CENTRALIZACIÓN MOCARÍ</t>
  </si>
  <si>
    <t>COBERTURA</t>
  </si>
  <si>
    <t>CONSORCIO INTERSUR, representado legalmente por GUILLERMO GABRIEL QUINTERO MARQUEZ. Contrato de obra 003-13</t>
  </si>
  <si>
    <t>CONSORCIO CENTRO, representado por JOSÉ GREGORIO ARROYO FERNÁNDEZ. Contrato de obra 001-13</t>
  </si>
  <si>
    <t>CONSORCIO INTERVIAL, representado por IVAN DARlO HINESTROZA ROJAS. Contrato de obra 002-13</t>
  </si>
  <si>
    <t>132-133-134-218-PEP18</t>
  </si>
  <si>
    <t>132-133-134-218-217-229-230-PEP18</t>
  </si>
  <si>
    <t>CALLE 25 Y PARADEROS CON ESPACIO PUBLICO - PEP</t>
  </si>
  <si>
    <t>INTERVENTORÍA CALLE 25, PARADEROS ESPACIO PÚBLICO Y CALLE 26</t>
  </si>
  <si>
    <t>INTERVENTORÍA CALLE 24 Y CAMAJON</t>
  </si>
  <si>
    <t>PAVIMENTACION EN CONCRETO RIGIDO DE LA CARRERA 1 ENTRE LA CALLE 35 Y LA AVENIDA CIRCUNVALAR PERTENECIENTES AL SISTEMA ESTRATEGICO DE TRANSPORTE PUBLICO "SETP" DE LA CIUDAD DE MONTERIA.</t>
  </si>
  <si>
    <t>PAVIMENTACION EN CONCRETO RIGIDO DE LA CARRERA 4 Y 5 ENTRE LA  CALLE 41 Y LA AVENIDA CIRCUNVALAR PERTENECIENTE AL SISTEMA ESTRATEGICO DE TRANSPORTE PUBLICO "SETP" DE LA CIUDAD DE MONTERIA.</t>
  </si>
  <si>
    <t>RECONSTRUCCIÓN DEL PAVIMENTO RÍGIDO DE ANDENES Y ESPACIO PÚBLICO DE LA AVENIDA CIRCUNVALAR   ENTRE CALLE 29 Y CALLE 13 PERTENECIENTE AL SISTEMA ESTRATÉGICO DE TRANSPORTE PÚBLICO "SETP" DE LA CIUDAD DE MONTERÍA.</t>
  </si>
  <si>
    <t>Aportes Nación C.A.F.</t>
  </si>
  <si>
    <t>FECHA INICIAL PROYECTADA</t>
  </si>
  <si>
    <t>FECHA FINAL PROYECTADA</t>
  </si>
  <si>
    <t>MES - AÑO  INICIAL</t>
  </si>
  <si>
    <t>MES - AÑO FINAL</t>
  </si>
  <si>
    <t>Subtotales</t>
  </si>
  <si>
    <t>Subtotal mes</t>
  </si>
  <si>
    <t>CONVENIO PARA LA PRIMERA FASE DE LA CONSULTORÍA DE LOS DISEÑOS A DETALLE DE LA INFRAESTRUCTURA FISICA Y VIAL DEL SETP</t>
  </si>
  <si>
    <t>CONSULTORÍA PARA EL DISEÑO A DETALLE DE 5 PUENTES PEATONALES PERTENECIENTES AL SETP DEL MUNICIPIO DE MONTERÍA</t>
  </si>
  <si>
    <t>CONSULTORIA PARA DISEÑO A DETALLE EN INTERSECCIONES SEMAFORIZADAS Y CENTRAL DE CONTROL SEMAFORICO PERTENECIENTES AL SETP DEL MUNICIPIO DE MONTERIA</t>
  </si>
  <si>
    <t>RECONSTRUCCIÓN DEL PAVIMENTO RÍGIDO, ANDENES Y ESPACIO PÚBLICO DE LAS CALLES 21,22 Y 23 ENTRE CARRERAS 1 Y 5, ID (220-221-222). PERTENECIENTE AL SISTEMA ESTRATEGICO DE TRANSPORTE PUBLICO "SETP" DE LA CIUDAD DE MONTERIA.</t>
  </si>
  <si>
    <t>CONTRUCCION DEL PUENTE VEHICULAR UBICADO EN LA AVENIDA CIRCUNVALAR CON CALLE 29,     ID [PV-1]. PERTENECIENTE AL SISTEMA ESTRATEGICO DE TRANSPORTE PUBLICO "SETP" DE LA CIUDAD DE MONTERIA.</t>
  </si>
  <si>
    <t>REHABILITACIÓN DEL PAVIMENTO RÍGIDO, ANDENES Y ESPACIO PÚBLICO DE LA CALLE 25 ENTRE CARRERA 1 Y CARRERA 12, CONTINUANDO POR LA CARRERA 12 ENTRE CALLE 25 Y CALLE 26 Y SIGUIENDO HASTA  LA CALLE 26 ENTRE LA CARRERA 12 Y AV. CIRCUNVALAR , ID (132, 133, 134 Y 218) Y LA CONSTRUCCIÓN DE ONCE (11) PARADEROS CON ESPACIO PUBLICO EN VARIOS CORREDORES PERTENECIENTES AL SISTEMA ESTRATEGICO DE TRANSPORTE PUBLICO "SETP" DE LA CIUDAD DE MONTERIA.</t>
  </si>
  <si>
    <t>CALLE 93 ENTRE CARRERA 2 Y AVENIDA CIRCUNVALAR (BARRIO MOCARÍ)</t>
  </si>
  <si>
    <t>CALLE DEL BARRIO 25 DE AGOSTO DESDE LA CALLE 41 HASTA LA CALLE 39</t>
  </si>
  <si>
    <t>DIAGONAL 8 F ENTRE LA DIAGONAL 4 Y CALLE 6B SUR (BARRIO ALFONSO LÓPEZ)</t>
  </si>
  <si>
    <t>CALLE 5 ( DIAG 2E) ENTRE TRANSVERSAL 9 Y CARRERA 25 (BARRIO P5)</t>
  </si>
  <si>
    <t>TRANSVERSAL 5 DESDE LA DIAG. 14 HASTA LA DIAG. 20 (CALLE P/PAL DEL BARRIO LA GRANJA)</t>
  </si>
  <si>
    <t>PRIMERA ETAPA PARA LA RECONSTRUCCIÓN Y MEJORAMIENTO DE LA CALLE 27 ENTRE LA AVENIDA PRIMERA Y LA AVENIDA CIRCUNVALAR</t>
  </si>
  <si>
    <t>PTN FURATENA</t>
  </si>
  <si>
    <t>PTN GALILEA</t>
  </si>
  <si>
    <t>PARADERO CON ESPACIO PUBLICO 01  K 3W X AV. CIRCUNV.</t>
  </si>
  <si>
    <t>PARADERO CON ESPACIO PUBLICO 02 AV. CIRCUNV. X C 29</t>
  </si>
  <si>
    <t>PARADERO CON ESPACIO PUBLICO 04 AV. CIRCUNV. X K 2</t>
  </si>
  <si>
    <t>PARADERO CON ESPACIO PUBLICO 05 AV. CIRCUNV. X C 95</t>
  </si>
  <si>
    <t>PARADERO CON ESPACIO PUBLICO 12 T 15 X C 5</t>
  </si>
  <si>
    <t>PARADERO CON ESPACIO PUBLICO 15 T 9 X C 6B</t>
  </si>
  <si>
    <t>PARADERO CON ESPACIO PUBLICO 16 T 12 X C 6</t>
  </si>
  <si>
    <t>PUNTO DE CENTRALIZACIÓN BARRIO CANTA CLARO</t>
  </si>
  <si>
    <t>PUNTO DE CENTRALIZACIÓN BARRIO SAN MARTÍN</t>
  </si>
  <si>
    <t>PUNTO DE CENTRALIZACIÓN BARRIO LA CASTELLANA</t>
  </si>
  <si>
    <t>PUNTO DE CENTRALIZACIÓN BARRIO MOCARÍ</t>
  </si>
  <si>
    <t>ADECUACIÓN DE INSTALACIONES - GERENCIA DEL PROYECTO</t>
  </si>
  <si>
    <t>EN EJECUCIÓN</t>
  </si>
  <si>
    <t>CONSORCIO PAVIMENTOS DE LA COSTA, representado legalmente por EMMANUEL RAMIT BANQUETH VERBEL. Contrato de obra 004-13</t>
  </si>
  <si>
    <t>Aportes Nación - CAF</t>
  </si>
  <si>
    <t>Aportes Nación _ Otras Fuentes</t>
  </si>
  <si>
    <t>EN LIQUIDACIÓN</t>
  </si>
  <si>
    <t>LIQUIDADO</t>
  </si>
  <si>
    <t>SUSPENDIDO</t>
  </si>
  <si>
    <t>30/092013</t>
  </si>
  <si>
    <t>CONSORCIO PUENTE CIRCUNVALAR</t>
  </si>
  <si>
    <t>INTERVENTORÍA CALLE 29 Y 28</t>
  </si>
  <si>
    <t>212-213-214-215</t>
  </si>
  <si>
    <t>INTERVENTORÍA TÉCNICA, ADMINISTRATIVA, FINANCIERA Y AMBIENTAL A LOS CONTRATOS CUYOS OBJETOS SON: CONSTRUCCIÓN DEL PAVIMENTO RÍGIDO, ANDENES Y ESPACIO PUBLICO DE LA CALLE 29 ENTRE CARRERA 1 Y AVENIDA CIRCUNVALAR, ID (212-213) Y LA   RECONSTRUCCIÓN DEL PAVIMENTO RÍGIDO, ANDENES Y ESPACIO PÚBLICO DE LA CALLE 28 ENTRE AVENIDA PRIMERA Y CARRERA 12, ID (214, 215). PERTENECIENTES AL SISTEMA ESTRATÉGICO DE TRANSPORTE PUBLICO "SETP" DE LA CIUDAD DE MONTERÍA.</t>
  </si>
  <si>
    <t>CONSTRUCCIÓN DE PAVIMENTO RÍGIDO, ANDENES Y ESPACIO PUBLICO DE LA CALLE 30 ENTRE CARRERA 1 Y CARRERA 10, ID (202-211). PERTENECIENTE AL SISTEMA ESTRATÉGICO DE TRANSPORTE PUBLICO "SETP" DE LA CIUDAD DE MONTERÍA</t>
  </si>
  <si>
    <t>MONTERÍA CIUDAD AMABLE S.A.S</t>
  </si>
  <si>
    <t>CONSTRUCCIÓN DE PAVIMENTO RÍGIDO, ANDENES Y ESPACIO PUBLICO DE LA CALLE 29 ENTRE CARRERA 1 Y AVENIDA CIRCUNVALAR, ID (212-213). PERTENECIENTE AL SISTEMA ESTRATÉGICO DE TRANSPORTE PUBLICO "SETP" DE LA CIUDAD DE MONTERÍA.</t>
  </si>
  <si>
    <t>RECONSTRUCCIÓN DEL PAVIMENTO RÍGIDO, ANDENES Y ESPACIO PÚBLICO DE LA CALLE 28 ENTRE AVENIDA PRIMERA Y CARRERA 12, ID (214, 215). PERTENECIENTE AL SISTEMA ESTRATÉGICO DE TRANSPORTE PUBLICO "SETP" DE LA CIUDAD DE MONTERÍA</t>
  </si>
  <si>
    <t>CONSTRUCCIÓN DEL PAVIMENTO RÍGIDO, ANDENES Y ESPACIO PUBLICO DE LA CALLE 26 ENTRE CARRERA 1 Y CARRERA 5, LAS CARRERAS 6 Y 7 ENTRE CALLE 27 Y CALLE 30,ID (217-229-230). PERTENECIENTE AL SISTEMA ESTRATÉGICO DE TRANSPORTE PUBLICO "SETP" DE LA CIUDAD DE MONTERÍA.</t>
  </si>
  <si>
    <t>CONSTRUCCIÓN DE PAVIMENTO RÍGIDO, ANDENES Y ESPACIO PUBLICO DE LA CALLE 36 ENTRE CARRERA 1 W Y AVENIDA CIRCUNVALAR, ID(8). PERTENECIENTE AL SISTEMA ESTRATÉGICO DE TRANSPORTE PUBLICO "SETP" DE LA CIUDAD DE MONTERÍA.</t>
  </si>
  <si>
    <t>CORREDOR EJECUTADO POR LA GOBERNACIÓN DE CÓRDOBA.</t>
  </si>
  <si>
    <t>CORREDOR EJECUTADO POR LA ALCALDÍA DE MONTERÍA. HACE PARTE DE LAS OBRAS QUE ENTREGA EL MUNICIPIO EN ESPECIE.</t>
  </si>
  <si>
    <t>CONSTRUCCIÓN PRIMERA ETAPA PARA LA REPAVIMENTACIÓN DE LA CRA 3RA ENTRE CALLES 37 Y AVENIDA CIRCUNVALAR SUR PERTENECIENTE A LOS CORREDORES DEL SETP DEL MUNICIPIO DE MONTERÍA</t>
  </si>
  <si>
    <t>PONTÓN CONSTRUIDO CON LOS RECURSOS DEL CONTRATO de los ID (97,98,99).</t>
  </si>
  <si>
    <t>PONTÓN CONSTRUIDO CON LOS RECURSOS DEL CONTRATO LP 005-2011.</t>
  </si>
  <si>
    <t>PONTÓN CONSTRUIDO CON RECURSOS DEL CONTRATO DE OBRA DE LOS ID (97,98,99).</t>
  </si>
  <si>
    <t>PARADERO QUE SE CONSTRUIRÁ CON RECURSOS DEL CONTRATO LP 006-2011.</t>
  </si>
  <si>
    <t>PARADERO QUE SE CONSTRUIRÁ CON RECURSOS DEL CONTRATO LP 004-2011.</t>
  </si>
  <si>
    <t>PARADERO QUE SE CONSTRUIRÁ CON RECURSOS DEL CONTRATO ID 97-98-99</t>
  </si>
  <si>
    <t>CONSTRUCCIÓN DEL INTERCAMBIADOR VIAL EN LA K 1 X C 41, ID [IV-6].</t>
  </si>
  <si>
    <t>NO SE CONSTRUIRÁ YA QUE LA ALCALDÍA REALIZO UNA OBRA SOBRE ESTE TERRENO.</t>
  </si>
  <si>
    <t>Componente (si aplica)</t>
  </si>
  <si>
    <t xml:space="preserve">INTERVENTORÍA TÉCNICA, ADMINISTRATIVA, FINANCIERA Y AMBIENTAL AL CONTRATO QUE TIENE POR OBJETO LA PAVIMENTACIÓN EN CONCRETO RÍGIDO DE LA CARRERA 1 ENTRE LA CALLE 35 Y LA AVENIDA CIRCUNVALAR PERTENECIENTES AL SISTEMA ESTRATÉGICO DE TRANSPORTE PUBLICO "SETP" DE LA CIUDAD DE MONTERÍA </t>
  </si>
  <si>
    <t>1. UNIÓN TEMPORAL SINUVIAS 2011                                                                                                   2. INGESCOR LTDA</t>
  </si>
  <si>
    <t>INTERVENTORÍA TÉCNICA, ADMINISTRATIVA, FINANCIERA Y AMBIENTAL AL CONTRATO CUYO OBJETO ES LA PAVIMENTACIÓN EN CONCRETO RÍGIDO DE LAS CARRERAS 4 Y 5 ENTRE LA CALLE 41 Y LA AVENIDA CIRCUNVALAR SUR Y LA RECONSTRUCCIÓN DEL PAVIMENTO RÍGIDO, ANDENES Y ESPACIO PÚBLICO DE LA AV CIRCUNVALAR ENTRE CALLE 29 Y CALLE 13 PERTENECIENTES AL SISTEMA ESTRATÉGICO DE TRANSPORTE PÚBLICO DEL  MUNICIPIO DE MONTERÍA</t>
  </si>
  <si>
    <t>INTERVENTORÍA TÉCNICA, ADMINISTRATIVA, FINANCIERA Y AMBIENTAL AL SEGUNDA FASE PARA LA CONSTRUCCIÓN EN PAVIMENTO RÍGIDO DE LA DIAGONAL 2E DESDE LA TRANVERSAL 9 (ESTADIO EUGENIO VALDEZ DEL PRADO) HASTA EL CEMENTERIO DEL P5 [ID – 106] CON  EL INTERCAMBIADOR VIAL [IV2] Y LA  PAVIMENTACIÓN EN CONCRETO RÍGIDO DE LA DIAGONAL 8F  ENTRE LA CALLE 4 Y LA CALLE 6 SUR, BARRIO ALFONSO LÓPEZ [ID 120-121]. PERTENECIENTE AL SISTEMA ESTRATÉGICO DE TRANSPORTE PUBLICO "SETP" DE LA CIUDAD DE MONTERÍA.</t>
  </si>
  <si>
    <t>INTERVENTORÍA TÉCNICA, ADMINISTRATIVA, FINANCIERA Y AMBIENTAL AL CONTRATO CUYO OBJETO ES CONSTRUCCIÓN DE CUATRO PUENTES PEATONALES EN: AVENIDA CIRCUNVALAR CON CARRERA 3W. (P.P 1), AVENIDA CIRCUNVALAR CON CALLE 23. (P.P 2), AVENIDA CIRCUNVALAR CON CARRERA 2. (P.P 4) Y AVENIDA CIRCUNVALAR CON CALLE 95. (P.P 5)  Y CONSTRUCCIÓN DEL INTERCAMBIADOR VIAL (IV 1) EN LA AVENIDA CIRCUNVALAR CON CARRERA 1W,  PERTENECIENTES AL SISTEMA ESTRATÉGICO DE TRANSPORTE PUBLICO "SETP" DE LA CIUDAD DE MONTERÍA.</t>
  </si>
  <si>
    <t>INTERVENTORÍA TÉCNICA, ADMINISTRATIVA, FINANCIERA Y AMBIENTAL A LA RECONSTRUCCIÓN Y MANTENIMIENTO DEL PAVIMENTO RÍGIDO, ANDENES Y ESPACIO PUBLICO DE LAS CARRERA 9 ENTRE DIAGONAL 12 HASTA LA CALLE 24 Y LA CALLE 22 DESDE LA CARRERA 9 HASTA LA CARRERA 9 [ID 92-93-94-95 ], CALLE 10 ENTRE CARRERA 3 Y TRANSVERSAL 9 [ID 118] CON EL INTERCAMBIADOR VIAL 4 [IV 4 - CARRERA 9 CON CALLE 10], CARRERA 3 ENTRE CALLE 10 Y AV CIRCUNVALAR SUR [ID 117]  Y SEGUNDA ETAPA PARA LA REPAVIMENTACIÓN DE LA CRA. 3RA. ENTRE CALLES 31 Y AVENIDA CIRCUNVALAR SUR [ID 226-227-228 ]. PERTENECIENTES AL SISTEMA ESTRATÉGICO DE TRANSPORTE PUBLICO DE LA CIUDAD DE MONTERÍA.</t>
  </si>
  <si>
    <t>INTERVENTORÍA TÉCNICA, ADMINISTRATIVA, FINANCIERA Y AMBIENTAL A LOS CONTRATOS CUYOS OBJETOS SON: RECONSTRUCCIÓN DEL PAVIMENTO RÍGIDO, ANDENES Y ESPACIO PUBLICO DE LA CALLE 24 ENTRE AVENIDA PRIMERA Y AVENIDA CIRCUNVALAR, ID (131-219). Y LA REHABILITACIÓN, MANTENIMIENTO DEL PAVIMENTO EN CONCRETO RÍGIDO, ANDENES Y ESPACIO PÚBLICO DE LA TRANSVERSAL 9 DESDE LA CALLE 5 HASTA LA DIAGONAL 12 (ID91) PERTENECIENTE AL SISTEMA ESTRATÉGICO DE TRANSPORTE PUBLICO DE PASAJERO "SETP" DE LA CIUDAD DE MONTERÍA</t>
  </si>
  <si>
    <t>CONSORCIO INTERVIAS DEL SINÚ</t>
  </si>
  <si>
    <t>INTERVENTORÍA VIAL CÓRDOBA</t>
  </si>
  <si>
    <t>INTERVENTORÍA TÉCNICA, ADMINISTRATIVA, FINANCIERA Y AMBIENTAL AL CONTRATO CUYO OBJETO ES PUENTE VEHICULAR EN LA CALLE 41</t>
  </si>
  <si>
    <t>INTERVENTORÍA TÉCNICA, ADMINISTRATIVA, FINANCIERA Y AMBIENTAL AL CONTRATO CUYO OBJETO ES: IMPLEMENTACIÓN DEL SISTEMA DE SEMAFORIZACIÓN  Y SISTEMA INTELIGENTE DE TRANSPORTE</t>
  </si>
  <si>
    <t>INTERVENTORÍA TÉCNICA, ADMINISTRATIVA, FINANCIERA Y AMBIENTAL A LOS CONTRATOS CUYOS OBJETOS SON: 1. REHABILITACIÓN DEL PAVIMENTO RÍGIDO, ANDENES Y ESPACIO PÚBLICO DE LA CALLE 25 ENTRE CARRERA 1 Y CARRERA 12, CONTINUANDO POR LA CARRERA 12 ENTRE CALLE 25 Y CALLE 26 Y SIGUIENDO HASTA  LA CALLE 26 ENTRE LA CARRERA 12 Y AV. CIRCUNVALAR , ID (132, 133, 134 y 218) Y LA CONSTRUCCIÓN DE ONCE (11) PARADEROS CON ESPACIO PUBLICO EN VARIOS CORREDORES PERTENECIENTES AL SISTEMA ESTRATÉGICO DE TRANSPORTE PUBLICO "SETP" DE LA CIUDAD DE MONTERÍA, 2. CONSTRUCCIÓN DEL PAVIMENTO RÍGIDO, ANDENES Y ESPACIO PUBLICO DE LA CALLE 26 ENTRE CARRERA 1 Y CARRERA 5, LAS CARRERAS 6 Y 7 ENTRE CALLE 27 Y CALLE 30,ID (217-229-230). PERTENECIENTE AL SISTEMA ESTRATÉGICO DE TRANSPORTE PUBLICO "SETP" DE LA CIUDAD DE MONTERÍA.</t>
  </si>
  <si>
    <t>INTERVENTORÍA TÉCNICA, ADMINISTRATIVA, FINANCIERA Y AMBIENTAL AL CONTRATO CUYO OBJETO ES: CONSTRUCCIÓN DE PAVIMENTO RÍGIDO, ANDENES Y ESPACIO PUBLICO DE LA CALLE 30 ENTRE CARRERA 1 Y CARRERA 10, ID (202-211). PERTENECIENTE AL SISTEMA ESTRATÉGICO DE TRANSPORTE PUBLICO "SETP" DE LA CIUDAD DE MONTERÍA</t>
  </si>
  <si>
    <t>CONVENIO PARA LA PRIMERA FASE DE LA CONSULTORÍA DE LOS DISEÑOS A DETALLE DE LA INFRAESTRUCTURA FÍSICA Y VIAL DEL SETP</t>
  </si>
  <si>
    <t>CONVENIO CONSULTORÍA</t>
  </si>
  <si>
    <t>REALIZADA POR LA ALCALDÍA DE MONTERÍA</t>
  </si>
  <si>
    <t>CONSULTORÍA PARA DISEÑO A DETALLE EN INTERSECCIONES SEMAFORIZADAS Y CENTRAL DE CONTROL SEMAFORICO PERTENECIENTES AL SETP DEL MUNICIPIO DE MONTERÍA</t>
  </si>
  <si>
    <t>INTERVENTORÍA TÉCNICA, ADMINISTRATIVA, FINANCIERA Y AMBIENTAL AL CONTRATO CUYO OBJETO ES: CONSTRUCCIÓN DE PAVIMENTO RÍGIDO, ANDENES Y ESPACIO PUBLICO DE LA CALLE 36 ENTRE CARRERA 1 W Y AVENIDA CIRCUNVALAR, ID(8). PERTENECIENTE AL SISTEMA ESTRATÉGICO DE TRANSPORTE PUBLICO "SETP" DE LA CIUDAD DE MONTERÍA.</t>
  </si>
  <si>
    <t>REALIZADA POR LA GOBERNACIÓN DE CÓRDOBA</t>
  </si>
  <si>
    <t>INTERVENTORÍA TÉCNICA, ADMINISTRATIVA, FINANCIERA Y AMBIENTAL AL CONTRATO CUYO OBJETO ES: CALLE 93 ENTRE CARRERA 2 Y AVENIDA CIRCUNVALAR (BARRIO MOCARÍ)</t>
  </si>
  <si>
    <t>CONTRATO DE INTERVENTORÍA AL CONTRATO DE OBRA Nº 01 - 03</t>
  </si>
  <si>
    <t>INTERVENTORÍA TÉCNICA, ADMINISTRATIVA, FINANCIERA Y AMBIENTAL AL CONTRATO CUYO OBJETO ES: CALLE DEL BARRIO 25 DE AGOSTO DESDE LA CALLE 41 HASTA LA CALLE 39</t>
  </si>
  <si>
    <t>INTERVENTORÍA TÉCNICA, ADMINISTRATIVA, FINANCIERA Y AMBIENTAL AL CONTRATO CUYO OBJETO ES: DIAGONAL 8 F ENTRE LA DIAGONAL 4 Y CALLE 6B SUR (BARRIO ALFONSO LÓPEZ)</t>
  </si>
  <si>
    <t>INTERVENTORÍA TÉCNICA, ADMINISTRATIVA, FINANCIERA Y AMBIENTAL AL CONTRATO CUYO OBJETO ES: CALLE 5 ( DIAG 2E) ENTRE TRANSVERSAL 9 Y CARRERA 25 (BARRIO P5)</t>
  </si>
  <si>
    <t>INTERVENTORÍA TÉCNICA, ADMINISTRATIVA, FINANCIERA Y AMBIENTAL AL CONTRATO CUYO OBJETO ES: CONSTRUCCIÓN PRIMERA ETAPA PARA LA REPAVIMENTACIÓN DE LA CRA 3RA ENTRE CALLES 37 Y AVENIDA CIRCUNVALAR SUR PERTENECIENTE A LOS CORREDORES DEL SETP DEL MUNICIPIO DE MONTERÍA</t>
  </si>
  <si>
    <t>CONTRATO DE INTERVENTORÍA Nº 007 - 10</t>
  </si>
  <si>
    <t>INTERVENTORÍA TÉCNICA, ADMINISTRATIVA, FINANCIERA Y AMBIENTAL AL CONTRATO CUYO OBJETO ES: TRANSVERSAL 5 DESDE LA DIAG. 14 HASTA LA DIAG. 20 (CALLE P/PAL DEL BARRIO LA GRANJA)</t>
  </si>
  <si>
    <t>INTERVENTORÍA TÉCNICA, ADMINISTRATIVA, FINANCIERA Y AMBIENTAL AL CONTRATO CUYO OBJETO ES: PRIMERA ETAPA PARA LA RECONSTRUCCIÓN Y MEJORAMIENTO DE LA CALLE 27 ENTRE LA AVENIDA PRIMERA Y LA AVENIDA CIRCUNVALAR</t>
  </si>
  <si>
    <t>CONTRATO DE INTERVENTORÍA Nº 005 - 09</t>
  </si>
  <si>
    <t>CONSULTORÍA 1</t>
  </si>
  <si>
    <t>CONSULTORÍA 2</t>
  </si>
  <si>
    <t>INTERVENTORÍA TÉCNICA, ADMINISTRATIVA, FINANCIERA Y AMBIENTAL AL CONTRATO CUYO OBJETO ES: PTN FURATENA</t>
  </si>
  <si>
    <t>INTERVENTORÍA TÉCNICA, ADMINISTRATIVA, FINANCIERA Y AMBIENTAL AL CONTRATO CUYO OBJETO ES: PTN EN LA DIAGONAL 2E ENTRE TRANSVERSAL 9 Y EL CEMENTERIO DEL P5.</t>
  </si>
  <si>
    <t>INTERVENTORÍA TÉCNICA, ADMINISTRATIVA, FINANCIERA Y AMBIENTAL AL CONTRATO CUYO OBJETO ES: PTN GALILEA</t>
  </si>
  <si>
    <t>INTERVENTORÍA TÉCNICA, ADMINISTRATIVA, FINANCIERA Y AMBIENTAL AL CONTRATO CUYO OBJETO ES: CONSTRUCCIÓN DE 75 PARADEROS TIPO M10 Y 155 PARADEROS TIPO COLOMBINA PERTENECIENTES AL SISTEMA ESTRATÉGICO DE TRANSPORTE PUBLICO "SETP" DE LA CIUDAD DE MONTERÍA.</t>
  </si>
  <si>
    <t>INTERVENTORÍA TÉCNICA, ADMINISTRATIVA, FINANCIERA Y AMBIENTAL AL CONTRATO CUYO OBJETO ES: PARADERO CON ESPACIO PUBLICO 01  K 3W X AV. CIRCUNV.</t>
  </si>
  <si>
    <t>INTERVENTORÍA TÉCNICA, ADMINISTRATIVA, FINANCIERA Y AMBIENTAL AL CONTRATO CUYO OBJETO ES: PARADERO CON ESPACIO PUBLICO 02 AV. CIRCUNV. X C 29</t>
  </si>
  <si>
    <t>INTERVENTORÍA TÉCNICA, ADMINISTRATIVA, FINANCIERA Y AMBIENTAL AL CONTRATO CUYO OBJETO ES: PARADERO CON ESPACIO PUBLICO 04 AV. CIRCUNV. X K 2</t>
  </si>
  <si>
    <t>INTERVENTORÍA TÉCNICA, ADMINISTRATIVA, FINANCIERA Y AMBIENTAL AL CONTRATO CUYO OBJETO ES: PARADERO CON ESPACIO PUBLICO 05 AV. CIRCUNV. X C 95</t>
  </si>
  <si>
    <t>INTERVENTORÍA TÉCNICA, ADMINISTRATIVA, FINANCIERA Y AMBIENTAL AL CONTRATO CUYO OBJETO ES: PARADERO CON ESPACIO PUBLICO 12 T 15 X C 5</t>
  </si>
  <si>
    <t>INTERVENTORÍA TÉCNICA, ADMINISTRATIVA, FINANCIERA Y AMBIENTAL AL CONTRATO CUYO OBJETO ES: PARADERO CON ESPACIO PUBLICO 15 T 9 X C 6B</t>
  </si>
  <si>
    <t>INTERVENTORÍA TÉCNICA, ADMINISTRATIVA, FINANCIERA Y AMBIENTAL AL CONTRATO CUYO OBJETO ES: PARADERO CON ESPACIO PUBLICO 16 T 12 X C 6</t>
  </si>
  <si>
    <t>INTERVENTORÍA TÉCNICA, ADMINISTRATIVA, FINANCIERA Y AMBIENTAL AL CONTRATO CUYO OBJETO ES: PUNTO DE CENTRALIZACIÓN BARRIO CANTA CLARO</t>
  </si>
  <si>
    <t>INTERVENTORÍA TÉCNICA, ADMINISTRATIVA, FINANCIERA Y AMBIENTAL AL CONTRATO CUYO OBJETO ES: PUNTO DE CENTRALIZACIÓN BARRIO ROBINSON PITALUA</t>
  </si>
  <si>
    <t>INTERVENTORÍA TÉCNICA, ADMINISTRATIVA, FINANCIERA Y AMBIENTAL AL CONTRATO CUYO OBJETO ES: PUNTO DE CENTRALIZACIÓN BARRIO SAN MARTÍN</t>
  </si>
  <si>
    <t>INTERVENTORÍA TÉCNICA, ADMINISTRATIVA, FINANCIERA Y AMBIENTAL AL CONTRATO CUYO OBJETO ES: PUNTO DE CENTRALIZACIÓN BARRIO LA CASTELLANA</t>
  </si>
  <si>
    <t>INTERVENTORÍA TÉCNICA, ADMINISTRATIVA, FINANCIERA Y AMBIENTAL AL CONTRATO CUYO OBJETO ES: PUNTO DE CENTRALIZACIÓN BARRIO MOCARÍ</t>
  </si>
  <si>
    <t>INTERVENTORÍA TÉCNICA, ADMINISTRATIVA, FINANCIERA Y AMBIENTAL AL CONTRATO CUYO OBJETO ES: CONSTRUCCIÓN DEL INTERCAMBIADOR VIAL EN LA K 1 X C 41, ID [IV-6].</t>
  </si>
  <si>
    <t>INTERVENTORÍA TÉCNICA, ADMINISTRATIVA, FINANCIERA Y AMBIENTAL AL CONTRATO CUYO OBJETO ES: PATIO 1</t>
  </si>
  <si>
    <t>INTERVENTORÍA TÉCNICA, ADMINISTRATIVA, FINANCIERA Y AMBIENTAL AL CONTRATO CUYO OBJETO ES: PATIO 2</t>
  </si>
  <si>
    <t>INTERVENTORÍA TÉCNICA, ADMINISTRATIVA, FINANCIERA Y AMBIENTAL AL CONTRATO CUYO OBJETO ES: PATIO 3</t>
  </si>
  <si>
    <t>INTERVENTORÍA TÉCNICA, ADMINISTRATIVA, FINANCIERA Y AMBIENTAL AL CONTRATO CUYO OBJETO ES: PATIO 4</t>
  </si>
  <si>
    <t>Total Obras + Bienes+ Interventorías</t>
  </si>
  <si>
    <t>Consultorías individuos</t>
  </si>
  <si>
    <t>CONSULTORÍA PARA EL DISEÑO A DETALLE DE LOS CORREDORES VIALES CALLE 24 ENTRE CARRERA 25 Y CARRERA 22 (ID  76), CARRERA 22 ENTRE CALLE 23 Y CALLE 24 (ID 77), CALLE 23 ENTRE CARRERA 20 Y CARRERA 22 (ID 78) ,CARRERA 16 ENTRE CALLE 24 Y CALLE 27 (ID 81), CALLE 27 ENTRE AVENIDA CIRCUNVALAR Y CARRERA 15A (ID 83), CALLE 12C ENTRE CARRERA 9 Y AVENIDA CIRCUNVALAR (ID 96), CALLE 43 ENTRE CARRERA 5 Y CARRERA 4 (ID 123),  CARRERA 5 ENTRE CALLE 41 Y CALLE 43 (ID 124), CARRERA 2 ENTRE CALLE 41 Y CALLE 29 (ID 204), CARRERA 2 ENTRE CALLE 29 Y CALLE 26 (ID 205), CARRERA 2 ENTRE CALLE 26 Y AVENIDA CIRCUNVALAR (ID 206) Y COMPLEMENTARIOS PERTENECIENTES AL SETP DEL MUNICIPIO DE MONTERÍA</t>
  </si>
  <si>
    <t>CONSORCIO INFRAESTRUCTURA URBANA representado
por MAYRELY JANETIE REYNA RHENALS, identificado
con la cedula de ciudadanía Nº 45.519.543 de
Cartagena.</t>
  </si>
  <si>
    <t>CONSORCIO VÍAS MONTERÍA 2013, REPRESENTADO POR INGRID SOFIA MORALES AVILA, IDENTIFICADA CON
LA CE DULA DE CIUDADANÍA Nº 64.696.436 DE
SINCELEJO.</t>
  </si>
  <si>
    <t xml:space="preserve">CONSORCIO SISTEMA ESTRATEGICO DE TRANSPORTE - ABRAHAM ENRIQUE ESPINOSA DIAZ C.C. No. 78.690.387 </t>
  </si>
  <si>
    <t>Estudios y diseños, estudios de operación y del esquema institucional del sistema</t>
  </si>
  <si>
    <t>Prestación de servicios profesionales para asesorar técnicamente a Montería Ciudad Amable S.A.S. en lo relacionado con la articulación de la planeación operacional con cálculo de tarifas teniendo en cuenta la capacidad de pago de los ciudadanos del Municipio de Montería, en la implementación del Sistema Estratégico de Transporte Público de Pasajeros de Montería.</t>
  </si>
  <si>
    <t xml:space="preserve"> Apoyo Técnico - servicios de topografía.</t>
  </si>
  <si>
    <t>MONTERIA</t>
  </si>
  <si>
    <t>Alquiler de equipos topográficos requeridos para la supervisión de las obras públicas que está ejecutando Montería Ciudad Amable S.A.S., para la implementación del Sistema Estratégico de Transporte Público de Pasajeros "SETP" de la ciudad de Montería.</t>
  </si>
  <si>
    <t>Apoyo Técnico - acompañamiento técnico profesional en la implementación del Sistema Estratégico de Transporte Público de Pasajeros "SETP" de Montería.</t>
  </si>
  <si>
    <t>Acompañamiento  en los procesos de reasentamiento, negociación y adquisición de los predios</t>
  </si>
  <si>
    <t>Acompañamiento técnico - profesional .</t>
  </si>
  <si>
    <t>CONSORCIO EQUICONCRETO, representado por GILBERTO BUSTAMANTE PINEDA,  identificado
conla cedula de ciudadanía N° 6.884.954 de Montería</t>
  </si>
  <si>
    <t>CONSTRUCCIÓN DEL CENTRO INTEGRADO DE SERVICIO AL CIUDADANO - CISC, ID (PD4). PERTENECIENTE AL SISTEMA ESTRATÉGICO DE TRANSPORTE PUBLICO "SETP" DE LA CIUDAD DE MONTERÍA</t>
  </si>
  <si>
    <t>Prestación de servicios de topografía, como apoyo a la gestión, para acompañamiento al Área Técnica en la supervisión de las obras públicas que está ejecutando Montería Ciudad Amable S.A.S., para la implementación del Sistema Estratégico de Transporte Público de Pasajeros "SETP" de la ciudad de Montería.</t>
  </si>
  <si>
    <t>Asesoría Financiera y presupuestal</t>
  </si>
  <si>
    <t>Coordinación  administrativa y Financiera de MONTERÍA CIUDAD AMABLES S.A.S.</t>
  </si>
  <si>
    <t>Asesoría  Financiera y presupuestal en desarrollo del proyecto Sistema Estratégico de Transporte Público de Pasajeros de Montería</t>
  </si>
  <si>
    <t>Gastos de viaje personal de apoyo técnico</t>
  </si>
  <si>
    <t>Gastos de administración de los recursos</t>
  </si>
  <si>
    <t>REALIZAR LA ESTRUCTURACIÓN OPERACIONAL TECNOLOGICA, FINANCIERA Y JURÍDICA DEL SISTEMA ESTRATEGICO DE PASAJEROS DE TRANSPORTE PUBLICO "SETP" DE MONTERÍA.</t>
  </si>
  <si>
    <t>Adquisición, mantenimiento de equipos de computación, sistemas de comunicación y softwares</t>
  </si>
  <si>
    <t>Arrendamiento de vehículos</t>
  </si>
  <si>
    <t>CONSULTORÍA SEMAFORIZACIÓN</t>
  </si>
  <si>
    <t>Calificación de riesgos</t>
  </si>
  <si>
    <t>Calificadora de riesgos</t>
  </si>
  <si>
    <t>Adecuación-mantenimientos- gastos generales</t>
  </si>
  <si>
    <t>PRIMERA ETAPA PARA LA CONSTRUCCIÓN DEL PAVIMENTO RÍGIDO, ANDENES Y ESPACIO PUBLICO DE LA CARRERA 2 ENTRE AVENIDA CIRCUNVALAR Y CALLE 31, ID (204-205-206). PERTENECIENTE AL SISTEMA ESTRATÉGICO DE TRANSPORTE PUBLICO DE PASAJEROS "SETP" DE LA CIUDAD DE MONTERÍA.</t>
  </si>
  <si>
    <t>IV 5</t>
  </si>
  <si>
    <t>Aportes en Especie Municipio</t>
  </si>
  <si>
    <t>APORTES EN ESPECIE DEL MUNICIPIO DE MONTERÍA</t>
  </si>
  <si>
    <t>CULMINADO</t>
  </si>
  <si>
    <t>CONSTRUCCIÓN DEL INTERCAMBIADOR VIAL SUR 1 [IV 5]. PERTENECIENTE AL SISTEMA ESTRATÉGICO DE TRANSPORTE PUBLICO DE PASAJEROS "SETP" DE LA CIUDAD DE MONTERÍA.</t>
  </si>
  <si>
    <t>INTERVENTORÍA TÉCNICA, ADMINISTRATIVA, FINANCIERA Y AMBIENTAL A LOS CONTRATOS CUYOS OBJETOS SON: PRIMERA ETAPA PARA LA CONSTRUCCIÓN DEL PAVIMENTO RÍGIDO, ANDENES Y ESPACIO PUBLICO DE LA CARRERA 2 ENTRE AVENIDA CIRCUNVALAR (CALLE 20) Y CALLE 32, ID (204-205-206) Y LA CONSTRUCCIÓN DEL INTERCAMBIADOR VIAL SUR 1 [IV 5].  PERTENECIENTES AL SISTEMA ESTRATÉGICO DE TRANSPORTE PUBLICO DE PASAJEROS "SETP" DE LA CIUDAD DE MONTERÍA</t>
  </si>
  <si>
    <t>204-205-206-IV5</t>
  </si>
  <si>
    <t>INTERVENTORÍA PPRIMERA ETAPA CRA. 2 E IV-5</t>
  </si>
  <si>
    <t>CALLE 30</t>
  </si>
  <si>
    <t>INTERVENTORIA CALLE 30</t>
  </si>
  <si>
    <t>EN EJECUCION</t>
  </si>
  <si>
    <t>CONSORCIO PAVIMENTOS MONTERIA 2013,Representado por MARCO ANTONIO GÓMEZ MENDOZA, identificado con la cedula de ciudadanía N° 10.778.641 de Montería</t>
  </si>
  <si>
    <t>CONSORCIO VIAL K2, representado legalmente por ÁLVARO ANTONIO PACHECO MÁRQUEZ, identificado con la cedula de ciudadanfa 15.051.936 de Sahagún.</t>
  </si>
  <si>
    <t>CONSORCIO CIMAP MONTERÍA 2015, representado legalmente por MARCO ANTONIO POSADA HENAO, dentificado con la cedula de ciudadanía  71.634.069 de Medellín.</t>
  </si>
  <si>
    <t>PROYECTOS Y SERVICIOS INTEGRALES DE CÓRDOBA - PYSIC S.A.S</t>
  </si>
  <si>
    <t>CONSORCIO INTERVENTORÍA CALLE 28 y 29</t>
  </si>
  <si>
    <t>SEGUNDA ETAPA CRA. 2</t>
  </si>
  <si>
    <t>PUENTE  VEHICULAR CL. 41</t>
  </si>
  <si>
    <t xml:space="preserve">CONSORCIO IV5-2015, representado legalmente por ROGER ANTONIO ÁLVAREZ SOLANO, identificado con cedula de ciudadanía N° 6.889.437 de Montería </t>
  </si>
  <si>
    <t>REHABILITACIÓN DEL PAVIMENTO RÍGIDO Y ANDENES DE LA CARRERA 16 ENTRE CALLE 24 Y CALLE 27 (ID 81), CALLE 27 ENTRE AVENIDA CIRCUNVALAR Y CARRERA 15A (ID 83), CALLE 12C ENTRE CARRERA 9 Y AVENIDA CIRCUNVALAR (ID 96), CALLE 43 ENTRE CARRERA 5 Y CARRERA 4 (ID 123),  CARRERA 5 ENTRE CALLE 41 Y CALLE 43 (ID 124) Y LA CONSTRUCCIÓN DE UN PUENTE PEATONAL, ID [PP - 3]; UBICADO EN LA CALLE 41 CON CALLE 29 (TERMINAL DE TRANSPORTE). PERTENECIENTES AL SISTEMA ESTRATÉGICO DE TRANSPORTE PUBLICO "SETP" DE LA CIUDAD DE MONTERÍA.</t>
  </si>
  <si>
    <t>81-83-96-123-124 Y PP - 3</t>
  </si>
  <si>
    <t>DTF + 5</t>
  </si>
  <si>
    <t>PUNTO  CENTRALIZACIÓN  ROBINSON PITALUA</t>
  </si>
  <si>
    <t>PUNTO CENTRALIZACIÓN SAN MARTÍN</t>
  </si>
  <si>
    <t>PUNTO CENTRALIZACIÓN LA CASTELLANA</t>
  </si>
  <si>
    <t>INTERVENTORIA PUENTE PV2</t>
  </si>
  <si>
    <t>REHABILITACIÓN DEL PAVIMENTO RÍGIDO Y ANDENES DE LA CALLE 24 ENTRE CARRERA 22 Y CARRERA 25, ID (76); CARRERA 22 ENTRE CALLE 23 Y CALLE 24, ID (77); CALLE 23 ENTRE CARRERA 20 Y CARRERA 22, ID (78); CARRERAS 8, 9 Y 10 ENTRE CALLES 27 Y 30, ID (231, 232 Y 233) Y LA CARRERA 1W ENTRE CALLE 36 Y CALLE 41, INCLUYE ANDENES Y ESPACIO PÚBLICO DE LA SECCIÓN IZQUIERDA SENTIDO SUR - NORTE, ID (9). PERTENECIENTES AL SISTEMA ESTRATÉGICO DE TRANSPORTE PUBLICO "SETP" DE LA CIUDAD DE MONTERÍA.</t>
  </si>
  <si>
    <t>76 - 77 - 78 - 9 - 231-232-233</t>
  </si>
  <si>
    <t xml:space="preserve">INTERVENTORÍA SEGUNDA ETAPA CRA. 2 </t>
  </si>
  <si>
    <t>COSTA DE ORO, OTROS Y PTE PEATONAL PP3</t>
  </si>
  <si>
    <t>IMPLEMENTACIÓN DEL SISTEMA DE SEMAFORIZACIÓN  Y SISTEMA INTELIGENTE DE TRANSPORTE - CENTRAL SEMAFORICA</t>
  </si>
  <si>
    <t>SISTEMA DE SEMAFORIZACIÓN Y TTE.- CENTRAL SEMAFORICA</t>
  </si>
  <si>
    <t>PRADERA (cle. 24) , CARRERA 1W Y CRAS 8,9 Y 10</t>
  </si>
  <si>
    <t>INTERVENTORÍA TÉCNICA, ADMINISTRATIVA, FINANCIERA Y AMBIENTAL AL CONTRATO CUYO OBJETO ES LA REHABILITACIÓN DEL PAVIMENTO RÍGIDO Y ANDENES DE LA CALLE 24 ENTRE CARRERA 22 Y CARRERA 25, ID (76); CARRERA 22 ENTRE CALLE 23 Y CALLE 24, ID (77); CALLE 23 ENTRE CARRERA 20 Y CARRERA 22, ID (78) ); CARRERAS 8, 9 Y 10 ENTRE CALLES 27 Y 30, ID (231, 232 Y 233) Y LA CARRERA 1W ENTRE CALLE 36 Y CALLE 41, INCLUYE ANDENES Y ESPACIO PÚBLICO DE LA SECCIÓN IZQUIERDA SENTIDO SUR - NORTE, ID (9). PERTENECIENTE AL SISTEMA ESTRATÉGICO DE TRANSPORTE PUBLICO "SETP" DE LA CIUDAD DE MONTERÍA.</t>
  </si>
  <si>
    <t>INTERVENTORÍA TÉCNICA, ADMINISTRATIVA, FINANCIERA Y AMBIENTAL AL CONTRATO CUYO OBJETO ES LA REHABILITACIÓN DEL PAVIMENTO RÍGIDO Y ANDENES DE LA CARRERA 16 ENTRE CALLE 24 Y CALLE 27 (ID 81), CALLE 27 ENTRE AVENIDA CIRCUNVALAR Y CARRERA 15A (ID 83), CALLE 12C ENTRE CARRERA 9 Y AVENIDA CIRCUNVALAR (ID 96), CALLE 43 ENTRE CARRERA 5 Y CARRERA 4 (ID 123),  CARRERA 5 ENTRE CALLE 41 Y CALLE 43 (ID 124) Y LA CONSTRUCCIÓN DE UN PUENTE PEATONAL, ID [PP - 3]; UBICADO EN LA CALLE 41 CON CALLE 29 (TERMINAL DE TRANSPORTE). PERTENECIENTE AL SISTEMA ESTRATÉGICO DE TRANSPORTE PUBLICO "SETP" DE LA CIUDAD DE MONTERÍA.</t>
  </si>
  <si>
    <t>INTERVENTORIA DE CRAS. 8, 9 Y 10- 1 W - PRADERA</t>
  </si>
  <si>
    <t>INTERVENTORIA DE OTROS TRAMOS Y PUENTE PEATONAL</t>
  </si>
  <si>
    <t>María Margarita Pérez Rivera - Said Bitar Castilla-Ana Irene</t>
  </si>
  <si>
    <t>Abogado - Operación</t>
  </si>
  <si>
    <t>Ingeniero de operaciones 1</t>
  </si>
  <si>
    <t>Ingeniero de Operaciones 2</t>
  </si>
  <si>
    <t>Ingeniero de Sistemas</t>
  </si>
  <si>
    <t>Asesora componente juridico estructuraciòn</t>
  </si>
  <si>
    <t>Asesor componente financiero estructuraciòn</t>
  </si>
  <si>
    <t>Asesor componente tecnologico estructuraciòn</t>
  </si>
  <si>
    <t>Abogada procesos judiciales</t>
  </si>
  <si>
    <t>perito</t>
  </si>
  <si>
    <t>Revisor</t>
  </si>
  <si>
    <t>Ingeniero Industrial</t>
  </si>
  <si>
    <t>Apoyo tecnico contable</t>
  </si>
  <si>
    <t>Apoyo tecnico contable - NIIF</t>
  </si>
  <si>
    <t>Abogado apoyo jurídico</t>
  </si>
  <si>
    <t>DISEÑOS DE PATIO</t>
  </si>
  <si>
    <t>INTERVENTORÍA - TECNOLOGIA</t>
  </si>
  <si>
    <t>INTERVENTORÍA CENTRAL SEMAFORICA</t>
  </si>
  <si>
    <t>TOTALES SERVICIO DEUDA - CREDITO 1</t>
  </si>
  <si>
    <t>204,</t>
  </si>
  <si>
    <t>CONSTRUCCIÓN DEL PAVIMENTO RÍGIDO, ANDENES Y ESPACIO PUBLICO DE LA CARRERA 2 ENTRE LA CALLE 37 Y CALLE 41, ID (204). PERTENECIENTE AL SISTEMA ESTRATÉGICO DE TRANSPORTE PUBLICO "SETP" DE LA CIUDAD DE MONTERÍA.</t>
  </si>
  <si>
    <t>CONSTRUCCIÓN DEL PAVIMENTO RÍGIDO, ANDENES Y ESPACIO PUBLICO DE LA CARRERA 2 ENTRE LA CALLE 31 Y CALLE 37, ID (204). PERTENECIENTE AL SISTEMA ESTRATÉGICO DE TRANSPORTE PUBLICO "SETP" DE LA CIUDAD DE MONTERÍA.</t>
  </si>
  <si>
    <t>TEECERA ETAPA CRA. 2</t>
  </si>
  <si>
    <t xml:space="preserve">INTERVENTORÍA TERCERA ETAPA CRA. 2 </t>
  </si>
  <si>
    <t>INTERVENTORÍA PUNTO CENTRALIZACIÓN ROBINSON PITALUA</t>
  </si>
  <si>
    <t>INTERVENTORÍA PUNTO CENTRALIZACIÓN SAN MARTIN</t>
  </si>
  <si>
    <t>INTERVENTORÍA PUNTO CENTRALIZACIÓN LA CASTELLANA</t>
  </si>
  <si>
    <t>INTERVENTORIA PATIO 1</t>
  </si>
  <si>
    <t>IMPLEMENTACIÓN DEL SISTEMA INTELIGENTE DE TRANSPORTE - TECNOLOGIA PARA MANEJO Y CONTROL DE FLOTA Y RECAUDO.</t>
  </si>
  <si>
    <t>INTERVENTORÍA TÉCNICA, ADMINISTRATIVA, FINANCIERA Y AMBIENTAL AL CONTRATO CUYO OBJETO ES: IMPLEMENTACIÓN DEL SISTEMA INTELIGENTE DE TRANSPORTE - TECNOLOGIA PARA MANEJO Y CONTROL DE FLOTA Y RECAUDO.</t>
  </si>
  <si>
    <t>207-208-209-210</t>
  </si>
  <si>
    <t>CONSTRUCCIÓN DEL PAVIMENTO RÍGIDO, ANDENES Y ESPACIO PUBLICO DE LA CALLES 35 ENTRE CARRERA 1 Y CARRERA 5, ID (203). PERTENECIENTE AL SISTEMA ESTRATÉGICO DE TRANSPORTE PUBLICO "SETP" DE LA CIUDAD DE MONTERÍA.</t>
  </si>
  <si>
    <t>CONSTRUCCIÓN DEL PAVIMENTO RÍGIDO, ANDENES Y ESPACIO PUBLICO DE LAS CALLES 31, 32, 33 Y 34 ENTRE CARRERA 1 Y CARRERA 5, ID (207-208-209-210). PERTENECIENTE AL SISTEMA ESTRATÉGICO DE TRANSPORTE PUBLICO "SETP" DE LA CIUDAD DE MONTERÍA.</t>
  </si>
  <si>
    <t>CALES 31, 32, 33, 34</t>
  </si>
  <si>
    <t>INTERVENTORIA CLS. M31,32,33, 34</t>
  </si>
  <si>
    <t>CALE 35</t>
  </si>
  <si>
    <t>INTERVENTORIA CLl 35</t>
  </si>
  <si>
    <t>TECNOLOGIA MANEJO CONTROL DE FLOTA Y RECAUDO</t>
  </si>
  <si>
    <t>Otros Gerencia</t>
  </si>
  <si>
    <t>LP 003 -2013</t>
  </si>
  <si>
    <t>LP 001 -2013</t>
  </si>
  <si>
    <t>LP 005 -2013</t>
  </si>
  <si>
    <t>LP 004 -2013</t>
  </si>
  <si>
    <t>LP 002 -2013</t>
  </si>
  <si>
    <t>LP 006 -2013</t>
  </si>
  <si>
    <t>LP 007 -2013</t>
  </si>
  <si>
    <t>LP 008 -2013</t>
  </si>
  <si>
    <t>LP 002-2015</t>
  </si>
  <si>
    <t>LP 001-2017</t>
  </si>
  <si>
    <t>CONSORCIO P &amp; P PAVIMENTOS, representado legalmente por el señor JESÚS DAVID NADER GÓMEZ, identificado con la cedula de ciudadanía Nº1.066.515.748 de Ayapel- Córdoba</t>
  </si>
  <si>
    <t>Sistema de Control SETPC y SeñaléticA 1</t>
  </si>
  <si>
    <t>LP 001-2015</t>
  </si>
  <si>
    <t>LP 001-2016</t>
  </si>
  <si>
    <t>CONSORCIO PAVIMENTO CALLE 30 representado legalmente por JUAN IGNACIO PUPO GARCÍA, identificado con la cedula de ciudadanía N°78.696.113 de Montería</t>
  </si>
  <si>
    <t>LP 002-2017</t>
  </si>
  <si>
    <t>CONSORCIO VIAL LA CEIBA , representado legalmente por GILBERTO RAFAEL DE JESÚS BUSTAMANTE PINEDA, identificado con la cedula de ciudadanía Nº 6.884.954 de Montería- Córdoba</t>
  </si>
  <si>
    <t>LP 003-2015</t>
  </si>
  <si>
    <t>LP 002-2016</t>
  </si>
  <si>
    <t>LP 003-2016</t>
  </si>
  <si>
    <t>LEONARDO JALIL DAVID ORDOSGOITIA, identificado con la cedula de ciudadanía  N° 78.675. 754 de Chinú</t>
  </si>
  <si>
    <t>CONSORCIO INFRAESTRUCTURA SETP,representado legalmente por JOSÉ GREGORIO ARROYO FERNÁNDEZ, identificado con la cedula de ciudadanía No 73.547.264 del Carmen de Bolívar.</t>
  </si>
  <si>
    <t xml:space="preserve">CON DISEÑOS </t>
  </si>
  <si>
    <t>LP 003-2017</t>
  </si>
  <si>
    <t>UNIÓN TEMPORAL SEMÁFOROS MONTERÍA 2017 con NIT 901147870-1, representada legalmente por JOSÉ RAMÓN RINCÓN JIMÉNEZ identificado con la cedula de ciudadanía No. 79.591.476 de Bogotá.</t>
  </si>
  <si>
    <t>CONTRATADO</t>
  </si>
  <si>
    <t xml:space="preserve">ENVIADO A LA UMUS </t>
  </si>
  <si>
    <t>CON DISEÑOS</t>
  </si>
  <si>
    <t>CM 001 - 2013</t>
  </si>
  <si>
    <t>CONSORCIO INTERPAVIMENTOS MONTERÍA, representado legalmente por ROSALÍA RODRÍGUEZ MERLANO, identificada con la cedula de ciudadanía N°50.919.757 de Montería -Córdoba.</t>
  </si>
  <si>
    <t>CONSORCIO MOVILIDAD MONTERIA, representado legalmente por LUIS GUILLERMO RAMOS ROA, identificado con la cedula de ciudadanía Nº 19.144.692 de Bogotá.</t>
  </si>
  <si>
    <t>CONSORCIO CALLE 30 -2016, representado
legalmente por el señor ALFREDO JOSE
LEPESQUEUR MARTÍNEZ, identificado con la cedula de ciudadanía Nº 10.766.786 de Montería</t>
  </si>
  <si>
    <t>CONSORCIO K5 CENTRO, representado legalmente por ALFREDO JOSE LEPESQUEUR MARTINEZ, identificado con la cedula de ciudadanía Nº 10.766.786 de Montería -Córdoba.</t>
  </si>
  <si>
    <t>PROYECTOS Y SERVICIOS INTEGRALES DE CÓRDOBA PYSIC S.A.S con NIT.
900.368.610-8 representado legalmente por CRISTHIAN CAMILO SOTO OSPINO,
identificado con la cedula de ciudadanía N° 1. 071.354.790 de San Carlos</t>
  </si>
  <si>
    <t>CONSORCIO PUENTE PEATONAL, representado legalmente por ANA MARÍA ANGULO BURGOS, identificada con la cedula de ciudadanía N°1.063.165.996 de Lorica -Córdoba</t>
  </si>
  <si>
    <t>CM 003 - 2013</t>
  </si>
  <si>
    <t xml:space="preserve"> REP LEGAL KELLY JOHANNA SOTO MARTÍNEZ.                                                                                                                                                                                                                                                                                                                                                                                                                                                           LIQUIDADO</t>
  </si>
  <si>
    <t>REP LEGAL KEVIN PATRICIA ALEAN MÓRELO                                                                                                                                                                                                                                                                                                                                                                                                                                                           LIQUIDADO</t>
  </si>
  <si>
    <t xml:space="preserve"> LILIANA TERESA PÉREZ POLO C.C. No. 50.908.008                                                                                                                                                                                                                                                                                                                                                                                                                                                           LIQUIDADO</t>
  </si>
  <si>
    <t>CM 005 - 2013</t>
  </si>
  <si>
    <t>CM 004 - 2013</t>
  </si>
  <si>
    <t>CM 001 - 2014</t>
  </si>
  <si>
    <t>CM 003 - 2015</t>
  </si>
  <si>
    <t>CONSORCIO IVK, representado legalmente por el señor JOSÉ SEBASTIÁN SOTO OSPINO, identificado con la cedula de ciudadanía Nº l.067.929.825 de Montería</t>
  </si>
  <si>
    <t>CM 001 - 2018</t>
  </si>
  <si>
    <t>CONSORCIO INTERVENTORÍA SEMAFORIZACIÓN MONTERÍA 2018, representado Legalmente por MARÍA FERNANDA LOPEZ FABRA, identificada con la cedula de ciudadanía Nº 1.067.850.039 de Montería - Córdoba</t>
  </si>
  <si>
    <t>ADJUDICADO</t>
  </si>
  <si>
    <t>CM 001 - 2015</t>
  </si>
  <si>
    <t>CM 001 - 2017</t>
  </si>
  <si>
    <t>SOCIEDAD CONSULTORES ESPECIALIZADOS y ASOCIADOS DE SANTANDER S.A., representada legalmente por LUIS ALFONSO MARTÍNEZ BARRAGÁN, identificado con la cedula de ciudadanía No 13.843.347 de Bucaramanga.</t>
  </si>
  <si>
    <t>TERMINADO</t>
  </si>
  <si>
    <t>CM 002-2014</t>
  </si>
  <si>
    <t>CM 002-2016</t>
  </si>
  <si>
    <t>CM 001-2016</t>
  </si>
  <si>
    <t>CM 002-2017</t>
  </si>
  <si>
    <t>CM 003-2016</t>
  </si>
  <si>
    <t>SUMINISTRO, INSTALACIÓN Y MANTENIMIENTO DE PARADEROS TIPO M10, TIPO COLOMBINA, CICLOPARQUEADERO, SEÑALIZACIÓN VERTICAL Y HORIZONTAL.  ID [Par1-Par2-Par-3-Par4) A CORREDORES DE OPERACIÓN DEL SISTEMA ESTRATÉGICO DE TRANSPORTE PUBLICO "SETP" DE LA CIUDAD DE MONTERÍA.</t>
  </si>
  <si>
    <t>CONSTRUCCIÓN DEL PUNTO DE DESCENTRALIZACIÓN ZONA SUR ROBINSON PITALUA EN CASA JUSTICIA, COMUNA 4. ID[PD-2].  PERTENECIENTE AL SISTEMA ESTRATEGICO DE TRANSPORTE PÚBLICO DE PASAJEROS "SETP" DE LA CIUDAD DE MONTERÍA.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</si>
</sst>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3" formatCode="_ * #,##0.00_ ;_ * \-#,##0.00_ ;_ * &quot;-&quot;??_ ;_ @_ "/>
    <numFmt numFmtId="164" formatCode="_-* #,##0_-;\-* #,##0_-;_-* &quot;-&quot;_-;_-@_-"/>
    <numFmt numFmtId="165" formatCode="_-* #,##0.00_-;\-* #,##0.00_-;_-* &quot;-&quot;??_-;_-@_-"/>
    <numFmt numFmtId="166" formatCode="&quot;$&quot;\ #,##0.00_);[Red]\(&quot;$&quot;\ #,##0.00\)"/>
    <numFmt numFmtId="167" formatCode="_(&quot;$&quot;\ * #,##0.00_);_(&quot;$&quot;\ * \(#,##0.00\);_(&quot;$&quot;\ * &quot;-&quot;??_);_(@_)"/>
    <numFmt numFmtId="168" formatCode="_(* #,##0.00_);_(* \(#,##0.00\);_(* &quot;-&quot;??_);_(@_)"/>
    <numFmt numFmtId="169" formatCode="[$$-240A]\ #,##0.00"/>
    <numFmt numFmtId="170" formatCode="_ &quot;$&quot;\ * #,##0.00_ ;_ &quot;$&quot;\ * \-#,##0.00_ ;_ &quot;$&quot;\ * &quot;-&quot;??_ ;_ @_ "/>
    <numFmt numFmtId="171" formatCode="_-* #,##0.00\ _p_t_a_-;\-* #,##0.00\ _p_t_a_-;_-* &quot;-&quot;??\ _p_t_a_-;_-@_-"/>
    <numFmt numFmtId="172" formatCode="_(* #,##0_);_(* \(#,##0\);_(* &quot;-&quot;??_);_(@_)"/>
    <numFmt numFmtId="173" formatCode="&quot;$&quot;\ #,##0"/>
    <numFmt numFmtId="174" formatCode="_ * #,##0_ ;_ * \-#,##0_ ;_ * &quot;-&quot;??_ ;_ @_ "/>
    <numFmt numFmtId="175" formatCode="[$USD]\ #,##0"/>
    <numFmt numFmtId="176" formatCode="dd/mm/yy;@"/>
    <numFmt numFmtId="177" formatCode="&quot;$&quot;\ #,##0.00"/>
    <numFmt numFmtId="178" formatCode="&quot;$&quot;\ #,##0.0"/>
    <numFmt numFmtId="179" formatCode="#,##0_ ;[Red]\-#,##0\ "/>
    <numFmt numFmtId="180" formatCode="#,##0.000000_ ;[Red]\-#,##0.000000\ "/>
    <numFmt numFmtId="181" formatCode="#,##0.00_ ;[Red]\-#,##0.00\ "/>
    <numFmt numFmtId="182" formatCode="[$$-240A]\ #,##0"/>
    <numFmt numFmtId="183" formatCode="0.0%"/>
    <numFmt numFmtId="184" formatCode="_(* #,##0.0000000_);_(* \(#,##0.0000000\);_(* &quot;-&quot;??_);_(@_)"/>
    <numFmt numFmtId="185" formatCode="_(* #,##0.000_);_(* \(#,##0.000\);_(* &quot;-&quot;??_);_(@_)"/>
    <numFmt numFmtId="186" formatCode="_(* #,##0.000000_);_(* \(#,##0.000000\);_(* &quot;-&quot;????????_);_(@_)"/>
    <numFmt numFmtId="187" formatCode="_(* #,##0.000000_);_(* \(#,##0.000000\);_(* &quot;-&quot;??_);_(@_)"/>
    <numFmt numFmtId="188" formatCode="&quot;$&quot;\ #,##0.0000000000000"/>
    <numFmt numFmtId="189" formatCode="_(* #,##0.00000000_);_(* \(#,##0.00000000\);_(* &quot;-&quot;??_);_(@_)"/>
    <numFmt numFmtId="190" formatCode="[$$-240A]\ #,##0.0000000000"/>
    <numFmt numFmtId="191" formatCode="_(* #,##0.000000_);_(* \(#,##0.000000\);_(* &quot;-&quot;??????_);_(@_)"/>
    <numFmt numFmtId="192" formatCode="0.000000000"/>
    <numFmt numFmtId="193" formatCode="_(&quot;$&quot;\ * #,##0.00000_);_(&quot;$&quot;\ * \(#,##0.00000\);_(&quot;$&quot;\ * &quot;-&quot;??_);_(@_)"/>
    <numFmt numFmtId="194" formatCode="_(* #,##0.00000_);_(* \(#,##0.00000\);_(* &quot;-&quot;??_);_(@_)"/>
    <numFmt numFmtId="195" formatCode="&quot;$&quot;#,##0_);[Red]\(&quot;$&quot;#,##0\)"/>
    <numFmt numFmtId="196" formatCode="&quot;$&quot;#,##0.00_);[Red]\(&quot;$&quot;#,##0.00\)"/>
    <numFmt numFmtId="197" formatCode="_ [$€-2]\ * #,##0.00_ ;_ [$€-2]\ * \-#,##0.00_ ;_ [$€-2]\ * &quot;-&quot;??_ "/>
    <numFmt numFmtId="198" formatCode="&quot;Verdadero&quot;;&quot;Verdadero&quot;;&quot;Falso&quot;"/>
    <numFmt numFmtId="199" formatCode="\$#,##0.00\ ;\(\$#,##0.00\)"/>
    <numFmt numFmtId="200" formatCode="_(* #,##0.000000000_);_(* \(#,##0.000000000\);_(* &quot;-&quot;??_);_(@_)"/>
    <numFmt numFmtId="201" formatCode="_-* #,##0.000000_-;\-* #,##0.000000_-;_-* &quot;-&quot;??????_-;_-@_-"/>
    <numFmt numFmtId="202" formatCode="_(* #,##0.0000000_);_(* \(#,##0.0000000\);_(* &quot;-&quot;???????_);_(@_)"/>
    <numFmt numFmtId="203" formatCode="0.000000"/>
    <numFmt numFmtId="204" formatCode="&quot;$&quot;\ #,##0.0000000"/>
    <numFmt numFmtId="205" formatCode="_(* #,##0.0000000000_);_(* \(#,##0.0000000000\);_(* &quot;-&quot;??_);_(@_)"/>
    <numFmt numFmtId="206" formatCode="_-* #,##0_-;\-* #,##0_-;_-* &quot;-&quot;??_-;_-@_-"/>
    <numFmt numFmtId="207" formatCode="_(* #,##0.000000000000_);_(* \(#,##0.000000000000\);_(* &quot;-&quot;??_);_(@_)"/>
    <numFmt numFmtId="208" formatCode="[$$-240A]#,##0.00"/>
    <numFmt numFmtId="209" formatCode="&quot;$&quot;\ #,##0.000"/>
    <numFmt numFmtId="210" formatCode="_-* #,##0.00_-;\-* #,##0.00_-;_-* &quot;-&quot;_-;_-@_-"/>
    <numFmt numFmtId="211" formatCode="&quot;$&quot;#,##0.00"/>
    <numFmt numFmtId="212" formatCode="_(* #,##0.0000_);_(* \(#,##0.0000\);_(* &quot;-&quot;??_);_(@_)"/>
    <numFmt numFmtId="213" formatCode="0.00000000"/>
    <numFmt numFmtId="214" formatCode="_-* #,##0.00000000_-;\-* #,##0.00000000_-;_-* &quot;-&quot;_-;_-@_-"/>
    <numFmt numFmtId="215" formatCode="_-* #,##0.000_-;\-* #,##0.000_-;_-* &quot;-&quot;_-;_-@_-"/>
    <numFmt numFmtId="216" formatCode="_-* #,##0.0000_-;\-* #,##0.0000_-;_-* &quot;-&quot;_-;_-@_-"/>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sz val="10"/>
      <name val="Arial"/>
      <family val="2"/>
    </font>
    <font>
      <b/>
      <sz val="12"/>
      <color indexed="81"/>
      <name val="Tahoma"/>
      <family val="2"/>
    </font>
    <font>
      <sz val="8"/>
      <color indexed="81"/>
      <name val="Tahoma"/>
      <family val="2"/>
    </font>
    <font>
      <sz val="14"/>
      <color indexed="81"/>
      <name val="Tahoma"/>
      <family val="2"/>
    </font>
    <font>
      <sz val="9"/>
      <color indexed="81"/>
      <name val="Arial"/>
      <family val="2"/>
    </font>
    <font>
      <sz val="11"/>
      <color indexed="60"/>
      <name val="Calibri"/>
      <family val="2"/>
    </font>
    <font>
      <b/>
      <sz val="11"/>
      <color indexed="8"/>
      <name val="Calibri"/>
      <family val="2"/>
    </font>
    <font>
      <sz val="10"/>
      <name val="Calibri"/>
      <family val="2"/>
      <scheme val="minor"/>
    </font>
    <font>
      <b/>
      <sz val="10"/>
      <color indexed="9"/>
      <name val="Calibri"/>
      <family val="2"/>
      <scheme val="minor"/>
    </font>
    <font>
      <b/>
      <sz val="10"/>
      <name val="Calibri"/>
      <family val="2"/>
      <scheme val="minor"/>
    </font>
    <font>
      <sz val="10"/>
      <color indexed="9"/>
      <name val="Calibri"/>
      <family val="2"/>
      <scheme val="minor"/>
    </font>
    <font>
      <b/>
      <sz val="12"/>
      <name val="Calibri"/>
      <family val="2"/>
      <scheme val="minor"/>
    </font>
    <font>
      <i/>
      <sz val="10"/>
      <color indexed="9"/>
      <name val="Calibri"/>
      <family val="2"/>
      <scheme val="minor"/>
    </font>
    <font>
      <sz val="10"/>
      <color theme="1"/>
      <name val="Calibri"/>
      <family val="2"/>
      <scheme val="minor"/>
    </font>
    <font>
      <sz val="10"/>
      <color theme="1"/>
      <name val="Arial"/>
      <family val="2"/>
    </font>
    <font>
      <b/>
      <sz val="11"/>
      <color theme="1"/>
      <name val="Arial"/>
      <family val="2"/>
    </font>
    <font>
      <b/>
      <sz val="10"/>
      <color theme="1"/>
      <name val="Arial"/>
      <family val="2"/>
    </font>
    <font>
      <b/>
      <sz val="10"/>
      <color indexed="8"/>
      <name val="Arial"/>
      <family val="2"/>
    </font>
    <font>
      <sz val="8"/>
      <color theme="1"/>
      <name val="Arial"/>
      <family val="2"/>
    </font>
    <font>
      <b/>
      <sz val="8"/>
      <color theme="1"/>
      <name val="Arial"/>
      <family val="2"/>
    </font>
    <font>
      <b/>
      <sz val="9"/>
      <color theme="1"/>
      <name val="Arial"/>
      <family val="2"/>
    </font>
    <font>
      <sz val="10"/>
      <color indexed="8"/>
      <name val="Arial"/>
      <family val="2"/>
    </font>
    <font>
      <sz val="9"/>
      <color indexed="8"/>
      <name val="Arial"/>
      <family val="2"/>
    </font>
    <font>
      <b/>
      <i/>
      <sz val="9"/>
      <color indexed="8"/>
      <name val="Arial"/>
      <family val="2"/>
    </font>
    <font>
      <b/>
      <sz val="9"/>
      <color indexed="8"/>
      <name val="Arial"/>
      <family val="2"/>
    </font>
    <font>
      <b/>
      <sz val="36"/>
      <color indexed="8"/>
      <name val="Arial"/>
      <family val="2"/>
    </font>
    <font>
      <b/>
      <sz val="10"/>
      <color theme="0"/>
      <name val="Arial"/>
      <family val="2"/>
    </font>
    <font>
      <sz val="9"/>
      <name val="Arial"/>
      <family val="2"/>
    </font>
    <font>
      <sz val="9"/>
      <color theme="1"/>
      <name val="Arial"/>
      <family val="2"/>
    </font>
    <font>
      <b/>
      <sz val="14"/>
      <color indexed="8"/>
      <name val="Arial"/>
      <family val="2"/>
    </font>
    <font>
      <b/>
      <sz val="9"/>
      <name val="Arial"/>
      <family val="2"/>
    </font>
    <font>
      <sz val="9"/>
      <color indexed="81"/>
      <name val="Tahoma"/>
      <family val="2"/>
    </font>
    <font>
      <b/>
      <sz val="9"/>
      <color indexed="81"/>
      <name val="Tahoma"/>
      <family val="2"/>
    </font>
    <font>
      <sz val="10"/>
      <name val="Arial"/>
      <family val="2"/>
    </font>
    <font>
      <b/>
      <sz val="10"/>
      <color indexed="10"/>
      <name val="Arial"/>
      <family val="2"/>
    </font>
    <font>
      <sz val="11"/>
      <color indexed="8"/>
      <name val="Calibri"/>
      <family val="2"/>
    </font>
    <font>
      <sz val="12"/>
      <name val="Cambria"/>
      <family val="1"/>
    </font>
    <font>
      <sz val="10"/>
      <color indexed="8"/>
      <name val="Calibri"/>
      <family val="2"/>
    </font>
    <font>
      <sz val="8"/>
      <name val="Calibri"/>
      <family val="2"/>
      <scheme val="minor"/>
    </font>
    <font>
      <b/>
      <sz val="12"/>
      <color theme="1"/>
      <name val="Calibri"/>
      <family val="2"/>
      <scheme val="minor"/>
    </font>
    <font>
      <b/>
      <sz val="10"/>
      <color rgb="FFFF0000"/>
      <name val="Calibri"/>
      <family val="2"/>
      <scheme val="minor"/>
    </font>
    <font>
      <sz val="10"/>
      <name val="Arial"/>
      <family val="2"/>
    </font>
    <font>
      <sz val="10"/>
      <name val="Cambria"/>
      <family val="1"/>
    </font>
    <font>
      <sz val="9"/>
      <color rgb="FFFF0000"/>
      <name val="Arial"/>
      <family val="2"/>
    </font>
    <font>
      <b/>
      <sz val="10"/>
      <color rgb="FFFF0000"/>
      <name val="Arial"/>
      <family val="2"/>
    </font>
    <font>
      <sz val="10"/>
      <color rgb="FFFF0000"/>
      <name val="Arial"/>
      <family val="2"/>
    </font>
    <font>
      <u/>
      <sz val="10"/>
      <color theme="1"/>
      <name val="Arial"/>
      <family val="2"/>
    </font>
    <font>
      <b/>
      <sz val="16"/>
      <color indexed="8"/>
      <name val="Arial"/>
      <family val="2"/>
    </font>
    <font>
      <b/>
      <sz val="9"/>
      <color rgb="FF000000"/>
      <name val="Calibri"/>
      <family val="2"/>
    </font>
    <font>
      <b/>
      <sz val="11"/>
      <color theme="0"/>
      <name val="Arial"/>
      <family val="2"/>
    </font>
    <font>
      <b/>
      <sz val="11"/>
      <color indexed="8"/>
      <name val="Arial"/>
      <family val="2"/>
    </font>
    <font>
      <sz val="11"/>
      <color theme="1"/>
      <name val="Calibri"/>
      <family val="2"/>
      <scheme val="minor"/>
    </font>
    <font>
      <sz val="10"/>
      <color indexed="24"/>
      <name val="MS Sans Serif"/>
      <family val="2"/>
    </font>
    <font>
      <sz val="10"/>
      <name val="MS Sans Serif"/>
      <family val="2"/>
    </font>
    <font>
      <sz val="12"/>
      <color indexed="24"/>
      <name val="Modern"/>
      <family val="3"/>
      <charset val="255"/>
    </font>
    <font>
      <b/>
      <sz val="18"/>
      <color indexed="24"/>
      <name val="Modern"/>
      <family val="3"/>
      <charset val="255"/>
    </font>
    <font>
      <b/>
      <sz val="12"/>
      <color indexed="24"/>
      <name val="Modern"/>
      <family val="3"/>
      <charset val="255"/>
    </font>
    <font>
      <sz val="11"/>
      <color theme="1"/>
      <name val="Arial"/>
      <family val="2"/>
    </font>
    <font>
      <b/>
      <i/>
      <sz val="9"/>
      <color indexed="60"/>
      <name val="Tahoma"/>
      <family val="2"/>
    </font>
    <font>
      <sz val="11"/>
      <color indexed="8"/>
      <name val="Arial"/>
      <family val="2"/>
    </font>
    <font>
      <b/>
      <sz val="10"/>
      <color theme="1"/>
      <name val="Calibri"/>
      <family val="2"/>
      <scheme val="minor"/>
    </font>
    <font>
      <sz val="8"/>
      <color indexed="8"/>
      <name val="Arial"/>
      <family val="2"/>
    </font>
    <font>
      <sz val="10"/>
      <name val="Arial"/>
      <family val="2"/>
    </font>
    <font>
      <sz val="10"/>
      <color rgb="FFFF0000"/>
      <name val="Calibri"/>
      <family val="2"/>
      <scheme val="minor"/>
    </font>
    <font>
      <sz val="10"/>
      <color rgb="FFFFFF00"/>
      <name val="Calibri"/>
      <family val="2"/>
      <scheme val="minor"/>
    </font>
    <font>
      <b/>
      <sz val="12"/>
      <color rgb="FFFFFF00"/>
      <name val="Calibri"/>
      <family val="2"/>
      <scheme val="minor"/>
    </font>
    <font>
      <b/>
      <sz val="12"/>
      <color rgb="FFFF0000"/>
      <name val="Calibri"/>
      <family val="2"/>
      <scheme val="minor"/>
    </font>
    <font>
      <b/>
      <sz val="9"/>
      <color rgb="FFFF0000"/>
      <name val="Arial"/>
      <family val="2"/>
    </font>
    <font>
      <b/>
      <sz val="8"/>
      <color indexed="8"/>
      <name val="Arial"/>
      <family val="2"/>
    </font>
    <font>
      <b/>
      <sz val="12"/>
      <color indexed="8"/>
      <name val="Arial"/>
      <family val="2"/>
    </font>
    <font>
      <b/>
      <i/>
      <sz val="9"/>
      <color theme="1"/>
      <name val="Arial"/>
      <family val="2"/>
    </font>
    <font>
      <b/>
      <sz val="9"/>
      <color theme="0"/>
      <name val="Arial"/>
      <family val="2"/>
    </font>
    <font>
      <sz val="8"/>
      <color theme="0"/>
      <name val="Arial"/>
      <family val="2"/>
    </font>
    <font>
      <sz val="12"/>
      <color theme="1"/>
      <name val="Arial"/>
      <family val="2"/>
    </font>
    <font>
      <u/>
      <sz val="10"/>
      <color rgb="FFFFFF00"/>
      <name val="Calibri"/>
      <family val="2"/>
      <scheme val="minor"/>
    </font>
    <font>
      <b/>
      <sz val="4"/>
      <color theme="0"/>
      <name val="Arial"/>
      <family val="2"/>
    </font>
    <font>
      <sz val="9"/>
      <color theme="0"/>
      <name val="Arial"/>
      <family val="2"/>
    </font>
    <font>
      <sz val="4"/>
      <color theme="0"/>
      <name val="Arial"/>
      <family val="2"/>
    </font>
  </fonts>
  <fills count="42">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48"/>
        <bgColor indexed="64"/>
      </patternFill>
    </fill>
    <fill>
      <patternFill patternType="solid">
        <fgColor rgb="FFFFFF00"/>
        <bgColor indexed="64"/>
      </patternFill>
    </fill>
    <fill>
      <patternFill patternType="solid">
        <fgColor indexed="43"/>
        <bgColor indexed="64"/>
      </patternFill>
    </fill>
    <fill>
      <patternFill patternType="solid">
        <fgColor indexed="4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1"/>
        <bgColor indexed="64"/>
      </patternFill>
    </fill>
    <fill>
      <patternFill patternType="solid">
        <fgColor indexed="10"/>
        <bgColor indexed="64"/>
      </patternFill>
    </fill>
    <fill>
      <patternFill patternType="solid">
        <fgColor indexed="47"/>
        <bgColor indexed="64"/>
      </patternFill>
    </fill>
    <fill>
      <patternFill patternType="solid">
        <fgColor indexed="13"/>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41"/>
        <bgColor indexed="64"/>
      </patternFill>
    </fill>
    <fill>
      <patternFill patternType="solid">
        <fgColor theme="0" tint="-0.24997711111789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00FF"/>
        <bgColor indexed="64"/>
      </patternFill>
    </fill>
    <fill>
      <patternFill patternType="solid">
        <fgColor rgb="FF66FFFF"/>
        <bgColor indexed="64"/>
      </patternFill>
    </fill>
    <fill>
      <patternFill patternType="solid">
        <fgColor theme="8" tint="0.59999389629810485"/>
        <bgColor indexed="64"/>
      </patternFill>
    </fill>
    <fill>
      <patternFill patternType="solid">
        <fgColor rgb="FFD9D9D9"/>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s>
  <borders count="8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double">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342">
    <xf numFmtId="0" fontId="0" fillId="0" borderId="0"/>
    <xf numFmtId="0" fontId="10" fillId="0" borderId="0" applyNumberFormat="0" applyFill="0" applyBorder="0" applyAlignment="0" applyProtection="0">
      <alignment vertical="top"/>
      <protection locked="0"/>
    </xf>
    <xf numFmtId="0" fontId="18" fillId="2" borderId="0" applyNumberFormat="0" applyBorder="0" applyAlignment="0" applyProtection="0"/>
    <xf numFmtId="0" fontId="13" fillId="0" borderId="0"/>
    <xf numFmtId="0" fontId="19" fillId="0" borderId="1" applyNumberFormat="0" applyFill="0" applyAlignment="0" applyProtection="0"/>
    <xf numFmtId="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68" fontId="46" fillId="0" borderId="0" applyFont="0" applyFill="0" applyBorder="0" applyAlignment="0" applyProtection="0"/>
    <xf numFmtId="9" fontId="46" fillId="0" borderId="0" applyFont="0" applyFill="0" applyBorder="0" applyAlignment="0" applyProtection="0"/>
    <xf numFmtId="0" fontId="13" fillId="0" borderId="0">
      <alignment wrapText="1"/>
    </xf>
    <xf numFmtId="167" fontId="54" fillId="0" borderId="0" applyFont="0" applyFill="0" applyBorder="0" applyAlignment="0" applyProtection="0"/>
    <xf numFmtId="0" fontId="64" fillId="0" borderId="0"/>
    <xf numFmtId="168" fontId="64" fillId="0" borderId="0" applyFont="0" applyFill="0" applyBorder="0" applyAlignment="0" applyProtection="0"/>
    <xf numFmtId="167" fontId="64" fillId="0" borderId="0" applyFont="0" applyFill="0" applyBorder="0" applyAlignment="0" applyProtection="0"/>
    <xf numFmtId="3" fontId="65" fillId="0" borderId="0" applyFont="0" applyFill="0" applyBorder="0" applyAlignment="0" applyProtection="0"/>
    <xf numFmtId="195" fontId="66" fillId="0" borderId="0" applyFont="0" applyFill="0" applyBorder="0" applyAlignment="0" applyProtection="0"/>
    <xf numFmtId="196" fontId="66"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64" fillId="0" borderId="0" applyFont="0" applyFill="0" applyBorder="0" applyAlignment="0" applyProtection="0"/>
    <xf numFmtId="170" fontId="13" fillId="0" borderId="0" applyFont="0" applyFill="0" applyBorder="0" applyAlignment="0" applyProtection="0"/>
    <xf numFmtId="167" fontId="64" fillId="0" borderId="0" applyFont="0" applyFill="0" applyBorder="0" applyAlignment="0" applyProtection="0"/>
    <xf numFmtId="0" fontId="48"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4" fillId="0" borderId="0"/>
    <xf numFmtId="0" fontId="64" fillId="0" borderId="0"/>
    <xf numFmtId="0" fontId="6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8"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13" fillId="0" borderId="0" applyNumberFormat="0"/>
    <xf numFmtId="0" fontId="67" fillId="0" borderId="0" applyProtection="0"/>
    <xf numFmtId="199" fontId="67" fillId="0" borderId="0" applyProtection="0"/>
    <xf numFmtId="0" fontId="68" fillId="0" borderId="0" applyProtection="0"/>
    <xf numFmtId="0" fontId="69" fillId="0" borderId="0" applyProtection="0"/>
    <xf numFmtId="0" fontId="67" fillId="0" borderId="81" applyProtection="0"/>
    <xf numFmtId="0" fontId="67" fillId="0" borderId="0"/>
    <xf numFmtId="10" fontId="67" fillId="0" borderId="0" applyProtection="0"/>
    <xf numFmtId="0" fontId="67" fillId="0" borderId="0"/>
    <xf numFmtId="2" fontId="67" fillId="0" borderId="0" applyProtection="0"/>
    <xf numFmtId="4" fontId="67" fillId="0" borderId="0" applyProtection="0"/>
    <xf numFmtId="0" fontId="9" fillId="0" borderId="0"/>
    <xf numFmtId="168" fontId="13"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167" fontId="7" fillId="0" borderId="0" applyFont="0" applyFill="0" applyBorder="0" applyAlignment="0" applyProtection="0"/>
    <xf numFmtId="167" fontId="48" fillId="0" borderId="0" applyFont="0" applyFill="0" applyBorder="0" applyAlignment="0" applyProtection="0"/>
    <xf numFmtId="168" fontId="7" fillId="0" borderId="0" applyFont="0" applyFill="0" applyBorder="0" applyAlignment="0" applyProtection="0"/>
    <xf numFmtId="164" fontId="75"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168"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cellStyleXfs>
  <cellXfs count="1134">
    <xf numFmtId="0" fontId="0" fillId="0" borderId="0" xfId="0"/>
    <xf numFmtId="0" fontId="20" fillId="0" borderId="0" xfId="0" applyFont="1" applyFill="1" applyAlignment="1">
      <alignment vertical="center" wrapText="1"/>
    </xf>
    <xf numFmtId="0" fontId="20" fillId="0" borderId="14" xfId="0" applyFont="1" applyFill="1" applyBorder="1" applyAlignment="1">
      <alignment vertical="center" wrapText="1"/>
    </xf>
    <xf numFmtId="0" fontId="20" fillId="0" borderId="11" xfId="0" applyFont="1" applyFill="1" applyBorder="1" applyAlignment="1">
      <alignment vertical="center" wrapText="1"/>
    </xf>
    <xf numFmtId="0" fontId="20" fillId="0" borderId="15" xfId="0" applyFont="1" applyFill="1" applyBorder="1" applyAlignment="1">
      <alignment vertical="center" wrapText="1"/>
    </xf>
    <xf numFmtId="0" fontId="20" fillId="0" borderId="2" xfId="0" applyFont="1" applyFill="1" applyBorder="1" applyAlignment="1">
      <alignment vertical="center" wrapText="1"/>
    </xf>
    <xf numFmtId="0" fontId="20" fillId="0" borderId="6" xfId="0" applyFont="1" applyFill="1" applyBorder="1" applyAlignment="1">
      <alignment vertical="center" wrapText="1"/>
    </xf>
    <xf numFmtId="0" fontId="20" fillId="0" borderId="12" xfId="0" applyFont="1" applyFill="1" applyBorder="1" applyAlignment="1">
      <alignment vertical="center" wrapText="1"/>
    </xf>
    <xf numFmtId="0" fontId="20" fillId="0" borderId="1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15"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18" xfId="0" applyFont="1" applyFill="1" applyBorder="1" applyAlignment="1">
      <alignment vertical="center" wrapText="1"/>
    </xf>
    <xf numFmtId="0" fontId="20" fillId="0" borderId="0" xfId="0" applyFont="1" applyFill="1" applyBorder="1" applyAlignment="1">
      <alignment vertical="center" wrapText="1"/>
    </xf>
    <xf numFmtId="0" fontId="20" fillId="5" borderId="14" xfId="0" applyFont="1" applyFill="1" applyBorder="1" applyAlignment="1">
      <alignment vertical="center" wrapText="1"/>
    </xf>
    <xf numFmtId="0" fontId="20" fillId="5" borderId="17" xfId="0" applyFont="1" applyFill="1" applyBorder="1" applyAlignment="1">
      <alignment vertical="center" wrapText="1"/>
    </xf>
    <xf numFmtId="0" fontId="20" fillId="5" borderId="2" xfId="0" applyFont="1" applyFill="1" applyBorder="1" applyAlignment="1">
      <alignment horizontal="left" vertical="center" wrapText="1"/>
    </xf>
    <xf numFmtId="0" fontId="23" fillId="4" borderId="25" xfId="0" applyFont="1" applyFill="1" applyBorder="1" applyAlignment="1">
      <alignment horizontal="center" vertical="center" wrapText="1"/>
    </xf>
    <xf numFmtId="0" fontId="23" fillId="4" borderId="2" xfId="0" applyFont="1" applyFill="1" applyBorder="1" applyAlignment="1">
      <alignment horizontal="center" vertical="center" wrapText="1"/>
    </xf>
    <xf numFmtId="14" fontId="20" fillId="0" borderId="2" xfId="0" applyNumberFormat="1" applyFont="1" applyFill="1" applyBorder="1" applyAlignment="1">
      <alignment vertical="center" wrapText="1"/>
    </xf>
    <xf numFmtId="0" fontId="20" fillId="0" borderId="32" xfId="0" applyFont="1" applyFill="1" applyBorder="1" applyAlignment="1">
      <alignment vertical="center" wrapText="1"/>
    </xf>
    <xf numFmtId="0" fontId="20" fillId="0" borderId="3" xfId="0" applyFont="1" applyFill="1" applyBorder="1" applyAlignment="1">
      <alignment vertical="center" wrapText="1"/>
    </xf>
    <xf numFmtId="0" fontId="20" fillId="0" borderId="4" xfId="0" applyFont="1" applyFill="1" applyBorder="1" applyAlignment="1">
      <alignment vertical="center" wrapText="1"/>
    </xf>
    <xf numFmtId="0" fontId="22" fillId="0" borderId="0" xfId="0" applyFont="1" applyFill="1" applyBorder="1" applyAlignment="1">
      <alignment vertical="center" wrapText="1"/>
    </xf>
    <xf numFmtId="0" fontId="26" fillId="0" borderId="2" xfId="0" applyFont="1" applyFill="1" applyBorder="1" applyAlignment="1">
      <alignment horizontal="justify" vertical="center" wrapText="1"/>
    </xf>
    <xf numFmtId="0" fontId="26" fillId="0" borderId="2" xfId="0" applyFont="1" applyFill="1" applyBorder="1" applyAlignment="1">
      <alignment horizontal="center"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14" fontId="26" fillId="0" borderId="2" xfId="0" applyNumberFormat="1" applyFont="1" applyFill="1" applyBorder="1" applyAlignment="1">
      <alignment horizontal="left" vertical="center" wrapText="1"/>
    </xf>
    <xf numFmtId="0" fontId="20" fillId="0" borderId="26" xfId="0" applyFont="1" applyFill="1" applyBorder="1" applyAlignment="1">
      <alignment vertical="center" wrapText="1"/>
    </xf>
    <xf numFmtId="0" fontId="20" fillId="0" borderId="36" xfId="0" applyFont="1" applyFill="1" applyBorder="1" applyAlignment="1">
      <alignment vertical="center" wrapText="1"/>
    </xf>
    <xf numFmtId="0" fontId="35" fillId="0" borderId="0" xfId="3" applyFont="1" applyFill="1"/>
    <xf numFmtId="2" fontId="35" fillId="0" borderId="0" xfId="3" applyNumberFormat="1" applyFont="1" applyFill="1"/>
    <xf numFmtId="0" fontId="37" fillId="3" borderId="0" xfId="3" applyFont="1" applyFill="1"/>
    <xf numFmtId="1" fontId="35" fillId="0" borderId="0" xfId="3" applyNumberFormat="1" applyFont="1" applyFill="1" applyAlignment="1">
      <alignment horizontal="right"/>
    </xf>
    <xf numFmtId="17" fontId="37" fillId="3" borderId="0" xfId="3" applyNumberFormat="1" applyFont="1" applyFill="1" applyBorder="1" applyAlignment="1">
      <alignment horizontal="right"/>
    </xf>
    <xf numFmtId="0" fontId="37" fillId="3" borderId="0" xfId="3" applyFont="1" applyFill="1" applyBorder="1" applyAlignment="1">
      <alignment horizontal="right"/>
    </xf>
    <xf numFmtId="0" fontId="35" fillId="0" borderId="2" xfId="3" applyFont="1" applyFill="1" applyBorder="1" applyAlignment="1">
      <alignment horizontal="left" vertical="center" wrapText="1"/>
    </xf>
    <xf numFmtId="172" fontId="35" fillId="0" borderId="2" xfId="7" applyNumberFormat="1" applyFont="1" applyFill="1" applyBorder="1" applyAlignment="1">
      <alignment horizontal="center"/>
    </xf>
    <xf numFmtId="172" fontId="35" fillId="0" borderId="32" xfId="7" applyNumberFormat="1" applyFont="1" applyFill="1" applyBorder="1" applyAlignment="1">
      <alignment horizontal="center"/>
    </xf>
    <xf numFmtId="172" fontId="35" fillId="0" borderId="15" xfId="7" applyNumberFormat="1" applyFont="1" applyFill="1" applyBorder="1" applyAlignment="1">
      <alignment horizontal="center"/>
    </xf>
    <xf numFmtId="172" fontId="37" fillId="3" borderId="2" xfId="7" applyNumberFormat="1" applyFont="1" applyFill="1" applyBorder="1" applyAlignment="1">
      <alignment horizontal="center"/>
    </xf>
    <xf numFmtId="173" fontId="35" fillId="0" borderId="0" xfId="3" applyNumberFormat="1" applyFont="1" applyFill="1" applyBorder="1" applyAlignment="1">
      <alignment horizontal="right"/>
    </xf>
    <xf numFmtId="168" fontId="35" fillId="0" borderId="0" xfId="3" applyNumberFormat="1" applyFont="1" applyFill="1"/>
    <xf numFmtId="0" fontId="37" fillId="0" borderId="0" xfId="3" applyFont="1" applyFill="1"/>
    <xf numFmtId="172" fontId="37" fillId="6" borderId="2" xfId="7" applyNumberFormat="1" applyFont="1" applyFill="1" applyBorder="1" applyAlignment="1">
      <alignment horizontal="center"/>
    </xf>
    <xf numFmtId="172" fontId="37" fillId="0" borderId="0" xfId="3" applyNumberFormat="1" applyFont="1" applyFill="1"/>
    <xf numFmtId="0" fontId="37" fillId="3" borderId="2" xfId="3" applyFont="1" applyFill="1" applyBorder="1"/>
    <xf numFmtId="0" fontId="37" fillId="0" borderId="0" xfId="3" applyFont="1" applyFill="1" applyBorder="1"/>
    <xf numFmtId="1" fontId="37" fillId="0" borderId="0" xfId="3" applyNumberFormat="1" applyFont="1" applyFill="1" applyAlignment="1">
      <alignment horizontal="right"/>
    </xf>
    <xf numFmtId="0" fontId="35" fillId="0" borderId="0" xfId="3" applyFont="1" applyFill="1" applyBorder="1"/>
    <xf numFmtId="2" fontId="35" fillId="0" borderId="0" xfId="3" applyNumberFormat="1" applyFont="1" applyFill="1" applyBorder="1"/>
    <xf numFmtId="172" fontId="37" fillId="3" borderId="18" xfId="7" applyNumberFormat="1" applyFont="1" applyFill="1" applyBorder="1" applyAlignment="1">
      <alignment horizontal="center"/>
    </xf>
    <xf numFmtId="169" fontId="41" fillId="13" borderId="0" xfId="3" applyNumberFormat="1" applyFont="1" applyFill="1" applyBorder="1" applyAlignment="1">
      <alignment horizontal="center" vertical="center"/>
    </xf>
    <xf numFmtId="17" fontId="40" fillId="13" borderId="24" xfId="3" applyNumberFormat="1" applyFont="1" applyFill="1" applyBorder="1" applyAlignment="1">
      <alignment horizontal="justify" vertical="center" wrapText="1"/>
    </xf>
    <xf numFmtId="17" fontId="40" fillId="13" borderId="0" xfId="3" applyNumberFormat="1" applyFont="1" applyFill="1" applyBorder="1" applyAlignment="1">
      <alignment horizontal="left" vertical="center" wrapText="1"/>
    </xf>
    <xf numFmtId="172" fontId="35" fillId="13" borderId="0" xfId="3" applyNumberFormat="1" applyFont="1" applyFill="1" applyBorder="1"/>
    <xf numFmtId="0" fontId="35" fillId="13" borderId="0" xfId="3" applyFont="1" applyFill="1"/>
    <xf numFmtId="169" fontId="35" fillId="0" borderId="0" xfId="3" applyNumberFormat="1" applyFont="1" applyFill="1" applyBorder="1"/>
    <xf numFmtId="168" fontId="35" fillId="0" borderId="0" xfId="3" applyNumberFormat="1" applyFont="1" applyFill="1" applyBorder="1"/>
    <xf numFmtId="168" fontId="37" fillId="0" borderId="0" xfId="3" applyNumberFormat="1" applyFont="1" applyFill="1"/>
    <xf numFmtId="173" fontId="37" fillId="0" borderId="0" xfId="3" applyNumberFormat="1" applyFont="1" applyFill="1" applyBorder="1"/>
    <xf numFmtId="2" fontId="37" fillId="0" borderId="0" xfId="3" applyNumberFormat="1" applyFont="1" applyFill="1" applyBorder="1"/>
    <xf numFmtId="172" fontId="35" fillId="0" borderId="0" xfId="3" applyNumberFormat="1" applyFont="1" applyFill="1"/>
    <xf numFmtId="17" fontId="35" fillId="0" borderId="0" xfId="3" applyNumberFormat="1" applyFont="1" applyFill="1" applyBorder="1"/>
    <xf numFmtId="172" fontId="37" fillId="0" borderId="0" xfId="7" applyNumberFormat="1" applyFont="1" applyFill="1" applyBorder="1" applyAlignment="1">
      <alignment horizontal="center"/>
    </xf>
    <xf numFmtId="173" fontId="35" fillId="0" borderId="0" xfId="3" applyNumberFormat="1" applyFont="1" applyFill="1" applyBorder="1"/>
    <xf numFmtId="1" fontId="35" fillId="0" borderId="0" xfId="3" applyNumberFormat="1" applyFont="1" applyFill="1" applyBorder="1" applyAlignment="1">
      <alignment horizontal="right"/>
    </xf>
    <xf numFmtId="175" fontId="35" fillId="0" borderId="0" xfId="3" applyNumberFormat="1" applyFont="1" applyFill="1" applyBorder="1" applyAlignment="1">
      <alignment horizontal="right"/>
    </xf>
    <xf numFmtId="0" fontId="35" fillId="0" borderId="0" xfId="3" applyFont="1" applyFill="1" applyBorder="1" applyAlignment="1">
      <alignment horizontal="center"/>
    </xf>
    <xf numFmtId="176" fontId="35" fillId="0" borderId="0" xfId="3" applyNumberFormat="1" applyFont="1" applyFill="1" applyBorder="1" applyAlignment="1">
      <alignment horizontal="center"/>
    </xf>
    <xf numFmtId="1" fontId="37" fillId="0" borderId="0" xfId="3" applyNumberFormat="1" applyFont="1" applyFill="1" applyBorder="1" applyAlignment="1">
      <alignment horizontal="right"/>
    </xf>
    <xf numFmtId="170" fontId="35" fillId="0" borderId="0" xfId="6" applyFont="1" applyFill="1" applyBorder="1"/>
    <xf numFmtId="0" fontId="42" fillId="0" borderId="0" xfId="3" applyFont="1" applyFill="1" applyBorder="1"/>
    <xf numFmtId="177" fontId="35" fillId="0" borderId="0" xfId="3" applyNumberFormat="1" applyFont="1" applyFill="1" applyBorder="1"/>
    <xf numFmtId="172" fontId="35" fillId="0" borderId="0" xfId="3" applyNumberFormat="1" applyFont="1" applyFill="1" applyBorder="1"/>
    <xf numFmtId="173" fontId="37" fillId="0" borderId="0" xfId="3" applyNumberFormat="1" applyFont="1" applyFill="1" applyBorder="1" applyAlignment="1">
      <alignment horizontal="right"/>
    </xf>
    <xf numFmtId="178" fontId="35" fillId="0" borderId="0" xfId="3" applyNumberFormat="1" applyFont="1" applyFill="1" applyBorder="1"/>
    <xf numFmtId="173" fontId="30" fillId="14" borderId="0" xfId="3" applyNumberFormat="1" applyFont="1" applyFill="1" applyBorder="1" applyAlignment="1">
      <alignment horizontal="left"/>
    </xf>
    <xf numFmtId="173" fontId="37" fillId="14" borderId="0" xfId="3" applyNumberFormat="1" applyFont="1" applyFill="1" applyBorder="1" applyAlignment="1">
      <alignment horizontal="right"/>
    </xf>
    <xf numFmtId="173" fontId="30" fillId="0" borderId="0" xfId="3" applyNumberFormat="1" applyFont="1" applyFill="1" applyBorder="1" applyAlignment="1">
      <alignment horizontal="left"/>
    </xf>
    <xf numFmtId="10" fontId="35" fillId="0" borderId="0" xfId="3" applyNumberFormat="1" applyFont="1" applyFill="1" applyBorder="1"/>
    <xf numFmtId="172" fontId="36" fillId="0" borderId="0" xfId="7" applyNumberFormat="1" applyFont="1" applyFill="1" applyBorder="1" applyAlignment="1">
      <alignment horizontal="center"/>
    </xf>
    <xf numFmtId="0" fontId="42" fillId="0" borderId="9" xfId="3" applyFont="1" applyFill="1" applyBorder="1"/>
    <xf numFmtId="0" fontId="35" fillId="0" borderId="49" xfId="3" applyFont="1" applyFill="1" applyBorder="1"/>
    <xf numFmtId="0" fontId="30" fillId="0" borderId="49" xfId="3" applyFont="1" applyFill="1" applyBorder="1"/>
    <xf numFmtId="0" fontId="30" fillId="0" borderId="10" xfId="3" applyFont="1" applyFill="1" applyBorder="1"/>
    <xf numFmtId="0" fontId="35" fillId="0" borderId="50" xfId="3" applyFont="1" applyFill="1" applyBorder="1"/>
    <xf numFmtId="0" fontId="37" fillId="0" borderId="50" xfId="3" applyFont="1" applyFill="1" applyBorder="1"/>
    <xf numFmtId="173" fontId="37" fillId="0" borderId="51" xfId="3" applyNumberFormat="1" applyFont="1" applyFill="1" applyBorder="1"/>
    <xf numFmtId="0" fontId="35" fillId="0" borderId="51" xfId="3" applyFont="1" applyFill="1" applyBorder="1"/>
    <xf numFmtId="0" fontId="35" fillId="0" borderId="52" xfId="3" applyFont="1" applyFill="1" applyBorder="1"/>
    <xf numFmtId="0" fontId="35" fillId="0" borderId="53" xfId="3" applyFont="1" applyFill="1" applyBorder="1"/>
    <xf numFmtId="173" fontId="35" fillId="0" borderId="53" xfId="3" applyNumberFormat="1" applyFont="1" applyFill="1" applyBorder="1" applyAlignment="1">
      <alignment horizontal="right"/>
    </xf>
    <xf numFmtId="0" fontId="42" fillId="0" borderId="49" xfId="3" applyFont="1" applyFill="1" applyBorder="1" applyAlignment="1">
      <alignment horizontal="center"/>
    </xf>
    <xf numFmtId="0" fontId="37" fillId="0" borderId="49" xfId="3" applyFont="1" applyFill="1" applyBorder="1" applyAlignment="1">
      <alignment horizontal="center"/>
    </xf>
    <xf numFmtId="0" fontId="37" fillId="0" borderId="10" xfId="3" applyFont="1" applyFill="1" applyBorder="1" applyAlignment="1">
      <alignment horizontal="center"/>
    </xf>
    <xf numFmtId="177" fontId="35" fillId="0" borderId="51" xfId="3" applyNumberFormat="1" applyFont="1" applyFill="1" applyBorder="1"/>
    <xf numFmtId="177" fontId="37" fillId="0" borderId="0" xfId="3" applyNumberFormat="1" applyFont="1" applyFill="1" applyBorder="1"/>
    <xf numFmtId="177" fontId="37" fillId="0" borderId="51" xfId="3" applyNumberFormat="1" applyFont="1" applyFill="1" applyBorder="1"/>
    <xf numFmtId="0" fontId="37" fillId="0" borderId="52" xfId="3" applyFont="1" applyFill="1" applyBorder="1"/>
    <xf numFmtId="177" fontId="37" fillId="0" borderId="53" xfId="3" applyNumberFormat="1" applyFont="1" applyFill="1" applyBorder="1"/>
    <xf numFmtId="0" fontId="35" fillId="0" borderId="54" xfId="3" applyFont="1" applyFill="1" applyBorder="1"/>
    <xf numFmtId="176" fontId="35" fillId="15" borderId="0" xfId="3" applyNumberFormat="1" applyFont="1" applyFill="1" applyBorder="1" applyAlignment="1">
      <alignment horizontal="center"/>
    </xf>
    <xf numFmtId="179" fontId="43" fillId="3" borderId="2" xfId="5" applyNumberFormat="1" applyFont="1" applyFill="1" applyBorder="1"/>
    <xf numFmtId="179" fontId="43" fillId="16" borderId="2" xfId="3" applyNumberFormat="1" applyFont="1" applyFill="1" applyBorder="1"/>
    <xf numFmtId="179" fontId="43" fillId="3" borderId="2" xfId="3" applyNumberFormat="1" applyFont="1" applyFill="1" applyBorder="1"/>
    <xf numFmtId="179" fontId="43" fillId="0" borderId="0" xfId="3" applyNumberFormat="1" applyFont="1" applyFill="1" applyBorder="1"/>
    <xf numFmtId="10" fontId="40" fillId="7" borderId="2" xfId="5" applyNumberFormat="1" applyFont="1" applyFill="1" applyBorder="1"/>
    <xf numFmtId="10" fontId="40" fillId="0" borderId="2" xfId="5" applyNumberFormat="1" applyFont="1" applyBorder="1"/>
    <xf numFmtId="10" fontId="40" fillId="0" borderId="0" xfId="5" applyNumberFormat="1" applyFont="1" applyBorder="1"/>
    <xf numFmtId="179" fontId="40" fillId="0" borderId="2" xfId="3" applyNumberFormat="1" applyFont="1" applyFill="1" applyBorder="1" applyAlignment="1">
      <alignment horizontal="justify" wrapText="1"/>
    </xf>
    <xf numFmtId="180" fontId="40" fillId="0" borderId="2" xfId="3" applyNumberFormat="1" applyFont="1" applyFill="1" applyBorder="1" applyAlignment="1">
      <alignment horizontal="right" wrapText="1"/>
    </xf>
    <xf numFmtId="180" fontId="40" fillId="16" borderId="2" xfId="3" applyNumberFormat="1" applyFont="1" applyFill="1" applyBorder="1"/>
    <xf numFmtId="180" fontId="40" fillId="0" borderId="0" xfId="3" applyNumberFormat="1" applyFont="1" applyFill="1" applyBorder="1" applyAlignment="1">
      <alignment horizontal="right" wrapText="1"/>
    </xf>
    <xf numFmtId="0" fontId="40" fillId="0" borderId="0" xfId="3" applyFont="1" applyBorder="1"/>
    <xf numFmtId="179" fontId="43" fillId="7" borderId="2" xfId="3" applyNumberFormat="1" applyFont="1" applyFill="1" applyBorder="1" applyAlignment="1">
      <alignment horizontal="justify" wrapText="1"/>
    </xf>
    <xf numFmtId="181" fontId="40" fillId="7" borderId="2" xfId="3" applyNumberFormat="1" applyFont="1" applyFill="1" applyBorder="1"/>
    <xf numFmtId="181" fontId="40" fillId="0" borderId="2" xfId="3" applyNumberFormat="1" applyFont="1" applyFill="1" applyBorder="1"/>
    <xf numFmtId="181" fontId="40" fillId="0" borderId="0" xfId="3" applyNumberFormat="1" applyFont="1" applyFill="1" applyBorder="1"/>
    <xf numFmtId="0" fontId="40" fillId="0" borderId="0" xfId="3" applyFont="1" applyFill="1" applyBorder="1"/>
    <xf numFmtId="0" fontId="40" fillId="0" borderId="0" xfId="3" applyFont="1"/>
    <xf numFmtId="4" fontId="35" fillId="0" borderId="0" xfId="3" applyNumberFormat="1" applyFont="1" applyFill="1" applyBorder="1" applyAlignment="1">
      <alignment horizontal="center"/>
    </xf>
    <xf numFmtId="0" fontId="37" fillId="17" borderId="9" xfId="3" applyFont="1" applyFill="1" applyBorder="1"/>
    <xf numFmtId="0" fontId="35" fillId="17" borderId="49" xfId="3" applyFont="1" applyFill="1" applyBorder="1"/>
    <xf numFmtId="0" fontId="37" fillId="17" borderId="49" xfId="3" applyFont="1" applyFill="1" applyBorder="1" applyAlignment="1">
      <alignment horizontal="center"/>
    </xf>
    <xf numFmtId="0" fontId="37" fillId="17" borderId="10" xfId="3" applyFont="1" applyFill="1" applyBorder="1" applyAlignment="1">
      <alignment horizontal="center"/>
    </xf>
    <xf numFmtId="172" fontId="35" fillId="0" borderId="51" xfId="3" applyNumberFormat="1" applyFont="1" applyFill="1" applyBorder="1"/>
    <xf numFmtId="3" fontId="35" fillId="0" borderId="0" xfId="3" applyNumberFormat="1" applyFont="1" applyFill="1" applyBorder="1"/>
    <xf numFmtId="3" fontId="35" fillId="0" borderId="51" xfId="3" applyNumberFormat="1" applyFont="1" applyFill="1" applyBorder="1"/>
    <xf numFmtId="0" fontId="35" fillId="0" borderId="55" xfId="3" applyFont="1" applyFill="1" applyBorder="1"/>
    <xf numFmtId="0" fontId="35" fillId="0" borderId="56" xfId="3" applyFont="1" applyFill="1" applyBorder="1"/>
    <xf numFmtId="0" fontId="35" fillId="0" borderId="57" xfId="3" applyFont="1" applyFill="1" applyBorder="1"/>
    <xf numFmtId="0" fontId="37" fillId="17" borderId="52" xfId="3" applyFont="1" applyFill="1" applyBorder="1"/>
    <xf numFmtId="0" fontId="37" fillId="17" borderId="53" xfId="3" applyFont="1" applyFill="1" applyBorder="1"/>
    <xf numFmtId="1" fontId="37" fillId="17" borderId="53" xfId="3" applyNumberFormat="1" applyFont="1" applyFill="1" applyBorder="1"/>
    <xf numFmtId="1" fontId="37" fillId="17" borderId="54" xfId="3" applyNumberFormat="1" applyFont="1" applyFill="1" applyBorder="1"/>
    <xf numFmtId="1" fontId="35" fillId="0" borderId="0" xfId="3" applyNumberFormat="1" applyFont="1" applyFill="1" applyBorder="1"/>
    <xf numFmtId="0" fontId="23" fillId="4" borderId="25" xfId="0" applyFont="1" applyFill="1" applyBorder="1" applyAlignment="1">
      <alignment horizontal="center" vertical="center" wrapText="1"/>
    </xf>
    <xf numFmtId="0" fontId="13" fillId="0" borderId="0" xfId="0" applyFont="1"/>
    <xf numFmtId="0" fontId="0" fillId="0" borderId="0" xfId="0" applyAlignment="1">
      <alignment horizontal="right"/>
    </xf>
    <xf numFmtId="10" fontId="0" fillId="19" borderId="0" xfId="0" applyNumberFormat="1" applyFill="1"/>
    <xf numFmtId="183" fontId="0" fillId="19" borderId="0" xfId="0" applyNumberFormat="1" applyFill="1"/>
    <xf numFmtId="0" fontId="0" fillId="6" borderId="2" xfId="0" applyFill="1" applyBorder="1" applyAlignment="1">
      <alignment horizontal="center"/>
    </xf>
    <xf numFmtId="174" fontId="0" fillId="6" borderId="2" xfId="0" applyNumberFormat="1" applyFill="1" applyBorder="1" applyAlignment="1">
      <alignment horizontal="center"/>
    </xf>
    <xf numFmtId="10" fontId="0" fillId="0" borderId="0" xfId="0" applyNumberFormat="1"/>
    <xf numFmtId="0" fontId="0" fillId="15" borderId="2" xfId="0" applyFill="1" applyBorder="1" applyAlignment="1">
      <alignment horizontal="center"/>
    </xf>
    <xf numFmtId="174" fontId="0" fillId="15" borderId="2" xfId="0" applyNumberFormat="1" applyFill="1" applyBorder="1" applyAlignment="1">
      <alignment horizontal="center"/>
    </xf>
    <xf numFmtId="0" fontId="12" fillId="0" borderId="0" xfId="0" applyFont="1" applyAlignment="1">
      <alignment horizontal="right"/>
    </xf>
    <xf numFmtId="10" fontId="47" fillId="16" borderId="0" xfId="0" applyNumberFormat="1" applyFont="1" applyFill="1"/>
    <xf numFmtId="0" fontId="12" fillId="3" borderId="25" xfId="0" applyFont="1" applyFill="1" applyBorder="1" applyAlignment="1">
      <alignment horizontal="center"/>
    </xf>
    <xf numFmtId="179" fontId="13" fillId="3" borderId="25" xfId="0" applyNumberFormat="1" applyFont="1" applyFill="1" applyBorder="1" applyAlignment="1">
      <alignment horizontal="center"/>
    </xf>
    <xf numFmtId="17" fontId="12" fillId="6" borderId="2" xfId="0" applyNumberFormat="1" applyFont="1" applyFill="1" applyBorder="1"/>
    <xf numFmtId="174" fontId="0" fillId="0" borderId="0" xfId="0" applyNumberFormat="1"/>
    <xf numFmtId="0" fontId="12" fillId="3" borderId="13" xfId="0" applyFont="1" applyFill="1" applyBorder="1" applyAlignment="1">
      <alignment horizontal="center"/>
    </xf>
    <xf numFmtId="0" fontId="12" fillId="3" borderId="22" xfId="0" applyFont="1" applyFill="1" applyBorder="1" applyAlignment="1">
      <alignment horizontal="center"/>
    </xf>
    <xf numFmtId="0" fontId="12" fillId="3" borderId="22" xfId="0" applyFont="1" applyFill="1" applyBorder="1" applyAlignment="1">
      <alignment horizontal="center" vertical="justify"/>
    </xf>
    <xf numFmtId="0" fontId="12" fillId="3" borderId="23" xfId="0" applyFont="1" applyFill="1" applyBorder="1" applyAlignment="1">
      <alignment horizontal="center" vertical="justify"/>
    </xf>
    <xf numFmtId="0" fontId="0" fillId="6" borderId="11" xfId="0" applyFill="1" applyBorder="1" applyAlignment="1">
      <alignment horizontal="center"/>
    </xf>
    <xf numFmtId="174" fontId="13" fillId="6" borderId="6" xfId="0" applyNumberFormat="1" applyFont="1" applyFill="1" applyBorder="1" applyAlignment="1">
      <alignment horizontal="center"/>
    </xf>
    <xf numFmtId="174" fontId="0" fillId="6" borderId="6" xfId="0" applyNumberFormat="1" applyFill="1" applyBorder="1" applyAlignment="1">
      <alignment horizontal="center"/>
    </xf>
    <xf numFmtId="0" fontId="12" fillId="20" borderId="13" xfId="0" applyFont="1" applyFill="1" applyBorder="1" applyAlignment="1">
      <alignment horizontal="center"/>
    </xf>
    <xf numFmtId="174" fontId="12" fillId="20" borderId="23" xfId="0" applyNumberFormat="1" applyFont="1" applyFill="1" applyBorder="1" applyAlignment="1">
      <alignment horizontal="center"/>
    </xf>
    <xf numFmtId="173" fontId="35" fillId="0" borderId="0" xfId="0" applyNumberFormat="1" applyFont="1" applyFill="1" applyBorder="1" applyAlignment="1">
      <alignment horizontal="right"/>
    </xf>
    <xf numFmtId="169" fontId="37" fillId="0" borderId="0" xfId="3" applyNumberFormat="1" applyFont="1" applyFill="1" applyBorder="1"/>
    <xf numFmtId="0" fontId="13" fillId="0" borderId="0" xfId="3" applyFill="1" applyBorder="1"/>
    <xf numFmtId="0" fontId="23" fillId="0" borderId="2" xfId="0" applyFont="1" applyFill="1" applyBorder="1" applyAlignment="1">
      <alignment horizontal="center" vertical="center" wrapText="1"/>
    </xf>
    <xf numFmtId="0" fontId="23" fillId="0" borderId="6" xfId="0" applyFont="1" applyFill="1" applyBorder="1" applyAlignment="1">
      <alignment horizontal="center" vertical="center" wrapText="1"/>
    </xf>
    <xf numFmtId="172" fontId="48" fillId="0" borderId="2" xfId="9" applyNumberFormat="1" applyFont="1" applyFill="1" applyBorder="1" applyAlignment="1">
      <alignment vertical="justify"/>
    </xf>
    <xf numFmtId="172" fontId="48" fillId="0" borderId="2" xfId="9" applyNumberFormat="1" applyFont="1" applyFill="1" applyBorder="1" applyAlignment="1"/>
    <xf numFmtId="14" fontId="26" fillId="0" borderId="2" xfId="0" applyNumberFormat="1" applyFont="1" applyFill="1" applyBorder="1" applyAlignment="1">
      <alignment horizontal="left" wrapText="1"/>
    </xf>
    <xf numFmtId="0" fontId="23" fillId="0" borderId="4" xfId="0" applyFont="1" applyFill="1" applyBorder="1" applyAlignment="1">
      <alignment horizontal="center" vertical="center" wrapText="1"/>
    </xf>
    <xf numFmtId="14" fontId="26" fillId="0" borderId="4" xfId="0" applyNumberFormat="1" applyFont="1" applyFill="1" applyBorder="1" applyAlignment="1">
      <alignment horizontal="left" vertical="center" wrapText="1"/>
    </xf>
    <xf numFmtId="172" fontId="48" fillId="0" borderId="4" xfId="9" applyNumberFormat="1" applyFont="1" applyFill="1" applyBorder="1" applyAlignment="1">
      <alignment vertical="justify"/>
    </xf>
    <xf numFmtId="0" fontId="23" fillId="0" borderId="5" xfId="0" applyFont="1" applyFill="1" applyBorder="1" applyAlignment="1">
      <alignment horizontal="center" vertical="center" wrapText="1"/>
    </xf>
    <xf numFmtId="0" fontId="49" fillId="0" borderId="6" xfId="0" applyFont="1" applyBorder="1" applyAlignment="1">
      <alignment vertical="justify"/>
    </xf>
    <xf numFmtId="172" fontId="48" fillId="0" borderId="4" xfId="9" applyNumberFormat="1" applyFont="1" applyFill="1" applyBorder="1" applyAlignment="1"/>
    <xf numFmtId="0" fontId="23" fillId="0" borderId="15" xfId="0" applyFont="1" applyFill="1" applyBorder="1" applyAlignment="1">
      <alignment horizontal="center" vertical="center" wrapText="1"/>
    </xf>
    <xf numFmtId="0" fontId="20" fillId="0" borderId="45" xfId="0" applyFont="1" applyFill="1" applyBorder="1" applyAlignment="1">
      <alignment vertical="center" wrapText="1"/>
    </xf>
    <xf numFmtId="0" fontId="50" fillId="0" borderId="18" xfId="0" applyFont="1" applyFill="1" applyBorder="1" applyAlignment="1">
      <alignment vertical="justify"/>
    </xf>
    <xf numFmtId="0" fontId="20" fillId="0" borderId="40" xfId="0" applyFont="1" applyFill="1" applyBorder="1" applyAlignment="1">
      <alignment vertical="center" wrapText="1"/>
    </xf>
    <xf numFmtId="0" fontId="22" fillId="0" borderId="18" xfId="0" applyFont="1" applyFill="1" applyBorder="1" applyAlignment="1">
      <alignment horizontal="center" vertical="center" wrapText="1"/>
    </xf>
    <xf numFmtId="0" fontId="22" fillId="0" borderId="2" xfId="0" applyFont="1" applyFill="1" applyBorder="1" applyAlignment="1">
      <alignment vertical="center" wrapText="1"/>
    </xf>
    <xf numFmtId="0" fontId="51" fillId="0" borderId="47" xfId="0" applyFont="1" applyFill="1" applyBorder="1" applyAlignment="1">
      <alignment vertical="center" wrapText="1"/>
    </xf>
    <xf numFmtId="169" fontId="20" fillId="0" borderId="48" xfId="0" applyNumberFormat="1" applyFont="1" applyFill="1" applyBorder="1" applyAlignment="1">
      <alignment vertical="center" wrapText="1"/>
    </xf>
    <xf numFmtId="169" fontId="20" fillId="0" borderId="29" xfId="0" applyNumberFormat="1" applyFont="1" applyFill="1" applyBorder="1" applyAlignment="1">
      <alignment vertical="center" wrapText="1"/>
    </xf>
    <xf numFmtId="0" fontId="49" fillId="0" borderId="6" xfId="0" applyFont="1" applyBorder="1" applyAlignment="1">
      <alignment horizontal="justify" vertical="center" wrapText="1"/>
    </xf>
    <xf numFmtId="168" fontId="35" fillId="0" borderId="0" xfId="9" applyFont="1" applyFill="1" applyBorder="1"/>
    <xf numFmtId="0" fontId="20" fillId="0" borderId="13" xfId="0" applyFont="1" applyFill="1" applyBorder="1" applyAlignment="1">
      <alignment vertical="center" wrapText="1"/>
    </xf>
    <xf numFmtId="0" fontId="20" fillId="0" borderId="22" xfId="0" applyFont="1" applyFill="1" applyBorder="1" applyAlignment="1">
      <alignment vertical="center" wrapText="1"/>
    </xf>
    <xf numFmtId="0" fontId="26" fillId="0" borderId="22" xfId="0" applyFont="1" applyFill="1" applyBorder="1" applyAlignment="1">
      <alignment horizontal="justify" vertical="center" wrapText="1"/>
    </xf>
    <xf numFmtId="0" fontId="24" fillId="0" borderId="22" xfId="0" applyFont="1" applyFill="1" applyBorder="1" applyAlignment="1">
      <alignment horizontal="center" vertical="center" wrapText="1"/>
    </xf>
    <xf numFmtId="169" fontId="20" fillId="0" borderId="22" xfId="0" applyNumberFormat="1" applyFont="1" applyFill="1" applyBorder="1" applyAlignment="1">
      <alignment vertical="center" wrapText="1"/>
    </xf>
    <xf numFmtId="0" fontId="20" fillId="0" borderId="62" xfId="0" applyFont="1" applyFill="1" applyBorder="1" applyAlignment="1">
      <alignment vertical="center" wrapText="1"/>
    </xf>
    <xf numFmtId="14" fontId="20" fillId="0" borderId="63" xfId="0" applyNumberFormat="1" applyFont="1" applyFill="1" applyBorder="1" applyAlignment="1">
      <alignment vertical="center" wrapText="1"/>
    </xf>
    <xf numFmtId="14" fontId="20" fillId="0" borderId="22" xfId="0" applyNumberFormat="1" applyFont="1" applyFill="1" applyBorder="1" applyAlignment="1">
      <alignment vertical="center" wrapText="1"/>
    </xf>
    <xf numFmtId="0" fontId="20" fillId="0" borderId="65" xfId="0" applyFont="1" applyFill="1" applyBorder="1" applyAlignment="1">
      <alignment vertical="center" wrapText="1"/>
    </xf>
    <xf numFmtId="0" fontId="20" fillId="0" borderId="23" xfId="0" applyFont="1" applyFill="1" applyBorder="1" applyAlignment="1">
      <alignment vertical="center" wrapText="1"/>
    </xf>
    <xf numFmtId="0" fontId="26" fillId="0" borderId="24" xfId="0" applyFont="1" applyFill="1" applyBorder="1" applyAlignment="1">
      <alignment horizontal="justify" vertical="center" wrapText="1"/>
    </xf>
    <xf numFmtId="0" fontId="20" fillId="23" borderId="13" xfId="0" applyFont="1" applyFill="1" applyBorder="1" applyAlignment="1">
      <alignment vertical="center" wrapText="1"/>
    </xf>
    <xf numFmtId="0" fontId="20" fillId="23" borderId="22" xfId="0" applyFont="1" applyFill="1" applyBorder="1" applyAlignment="1">
      <alignment vertical="center" wrapText="1"/>
    </xf>
    <xf numFmtId="0" fontId="26" fillId="23" borderId="22" xfId="0" applyFont="1" applyFill="1" applyBorder="1" applyAlignment="1">
      <alignment horizontal="justify" vertical="center" wrapText="1"/>
    </xf>
    <xf numFmtId="0" fontId="24" fillId="23" borderId="22" xfId="0" applyFont="1" applyFill="1" applyBorder="1" applyAlignment="1">
      <alignment horizontal="center" vertical="center" wrapText="1"/>
    </xf>
    <xf numFmtId="169" fontId="20" fillId="23" borderId="22" xfId="0" applyNumberFormat="1" applyFont="1" applyFill="1" applyBorder="1" applyAlignment="1">
      <alignment vertical="center" wrapText="1"/>
    </xf>
    <xf numFmtId="0" fontId="20" fillId="23" borderId="62" xfId="0" applyFont="1" applyFill="1" applyBorder="1" applyAlignment="1">
      <alignment vertical="center" wrapText="1"/>
    </xf>
    <xf numFmtId="0" fontId="26" fillId="13" borderId="25" xfId="0" applyFont="1" applyFill="1" applyBorder="1" applyAlignment="1">
      <alignment vertical="center" wrapText="1"/>
    </xf>
    <xf numFmtId="0" fontId="26" fillId="13" borderId="25" xfId="0" applyFont="1" applyFill="1" applyBorder="1" applyAlignment="1">
      <alignment horizontal="justify" vertical="center" wrapText="1"/>
    </xf>
    <xf numFmtId="0" fontId="52" fillId="13" borderId="25" xfId="0" applyFont="1" applyFill="1" applyBorder="1" applyAlignment="1">
      <alignment horizontal="center" vertical="center" wrapText="1"/>
    </xf>
    <xf numFmtId="169" fontId="26" fillId="13" borderId="25" xfId="0" applyNumberFormat="1" applyFont="1" applyFill="1" applyBorder="1" applyAlignment="1">
      <alignment vertical="center" wrapText="1"/>
    </xf>
    <xf numFmtId="0" fontId="26" fillId="13" borderId="27" xfId="0" applyFont="1" applyFill="1" applyBorder="1" applyAlignment="1">
      <alignment vertical="center" wrapText="1"/>
    </xf>
    <xf numFmtId="14" fontId="26" fillId="13" borderId="25" xfId="0" applyNumberFormat="1" applyFont="1" applyFill="1" applyBorder="1" applyAlignment="1">
      <alignment vertical="center" wrapText="1"/>
    </xf>
    <xf numFmtId="14" fontId="26" fillId="13" borderId="68" xfId="0" applyNumberFormat="1" applyFont="1" applyFill="1" applyBorder="1" applyAlignment="1">
      <alignment vertical="center" wrapText="1"/>
    </xf>
    <xf numFmtId="0" fontId="26" fillId="13" borderId="29" xfId="0" applyFont="1" applyFill="1" applyBorder="1" applyAlignment="1">
      <alignment vertical="center" wrapText="1"/>
    </xf>
    <xf numFmtId="0" fontId="26" fillId="13" borderId="19" xfId="0" applyFont="1" applyFill="1" applyBorder="1" applyAlignment="1">
      <alignment vertical="center" wrapText="1"/>
    </xf>
    <xf numFmtId="0" fontId="26" fillId="13" borderId="33" xfId="0" applyFont="1" applyFill="1" applyBorder="1" applyAlignment="1">
      <alignment vertical="center" wrapText="1"/>
    </xf>
    <xf numFmtId="0" fontId="26" fillId="0" borderId="69" xfId="0" applyFont="1" applyFill="1" applyBorder="1" applyAlignment="1">
      <alignment horizontal="justify" vertical="center" wrapText="1"/>
    </xf>
    <xf numFmtId="14" fontId="26" fillId="0" borderId="22" xfId="0" applyNumberFormat="1" applyFont="1" applyFill="1" applyBorder="1" applyAlignment="1">
      <alignment horizontal="left" vertical="center" wrapText="1"/>
    </xf>
    <xf numFmtId="14" fontId="26" fillId="0" borderId="65" xfId="0" applyNumberFormat="1" applyFont="1" applyFill="1" applyBorder="1" applyAlignment="1">
      <alignment horizontal="center" vertical="center" wrapText="1"/>
    </xf>
    <xf numFmtId="14" fontId="26" fillId="23" borderId="63" xfId="0" applyNumberFormat="1" applyFont="1" applyFill="1" applyBorder="1" applyAlignment="1">
      <alignment horizontal="center" vertical="center" wrapText="1"/>
    </xf>
    <xf numFmtId="0" fontId="20" fillId="13" borderId="25" xfId="0" applyFont="1" applyFill="1" applyBorder="1" applyAlignment="1">
      <alignment vertical="center" wrapText="1"/>
    </xf>
    <xf numFmtId="0" fontId="20" fillId="22" borderId="22" xfId="0" applyFont="1" applyFill="1" applyBorder="1" applyAlignment="1">
      <alignment vertical="center" wrapText="1"/>
    </xf>
    <xf numFmtId="0" fontId="20" fillId="22" borderId="62" xfId="0" applyFont="1" applyFill="1" applyBorder="1" applyAlignment="1">
      <alignment vertical="center" wrapText="1"/>
    </xf>
    <xf numFmtId="14" fontId="26" fillId="22" borderId="63" xfId="0" applyNumberFormat="1" applyFont="1" applyFill="1" applyBorder="1" applyAlignment="1">
      <alignment horizontal="center" vertical="center" wrapText="1"/>
    </xf>
    <xf numFmtId="169" fontId="20" fillId="0" borderId="0" xfId="0" applyNumberFormat="1" applyFont="1" applyFill="1" applyBorder="1" applyAlignment="1">
      <alignment vertical="center" wrapText="1"/>
    </xf>
    <xf numFmtId="0" fontId="20" fillId="13" borderId="19" xfId="0" applyFont="1" applyFill="1" applyBorder="1" applyAlignment="1">
      <alignment vertical="center" wrapText="1"/>
    </xf>
    <xf numFmtId="0" fontId="20" fillId="13" borderId="29" xfId="0" applyFont="1" applyFill="1" applyBorder="1" applyAlignment="1">
      <alignment vertical="center" wrapText="1"/>
    </xf>
    <xf numFmtId="169" fontId="20" fillId="13" borderId="25" xfId="0" applyNumberFormat="1" applyFont="1" applyFill="1" applyBorder="1" applyAlignment="1">
      <alignment vertical="center" wrapText="1"/>
    </xf>
    <xf numFmtId="0" fontId="20" fillId="13" borderId="27" xfId="0" applyFont="1" applyFill="1" applyBorder="1" applyAlignment="1">
      <alignment vertical="center" wrapText="1"/>
    </xf>
    <xf numFmtId="14" fontId="26" fillId="13" borderId="29"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167" fontId="35" fillId="0" borderId="0" xfId="12" applyFont="1" applyFill="1" applyBorder="1"/>
    <xf numFmtId="169" fontId="31" fillId="13" borderId="48" xfId="3" applyNumberFormat="1" applyFont="1" applyFill="1" applyBorder="1" applyAlignment="1">
      <alignment horizontal="center" vertical="center"/>
    </xf>
    <xf numFmtId="0" fontId="55" fillId="0" borderId="5" xfId="0" applyFont="1" applyBorder="1" applyAlignment="1">
      <alignment vertical="justify"/>
    </xf>
    <xf numFmtId="0" fontId="55" fillId="0" borderId="6" xfId="0" applyFont="1" applyBorder="1" applyAlignment="1">
      <alignment vertical="justify"/>
    </xf>
    <xf numFmtId="0" fontId="55" fillId="0" borderId="0" xfId="0" applyFont="1" applyBorder="1" applyAlignment="1">
      <alignment horizontal="justify" vertical="center"/>
    </xf>
    <xf numFmtId="0" fontId="55" fillId="0" borderId="2" xfId="0" applyFont="1" applyBorder="1" applyAlignment="1">
      <alignment vertical="justify"/>
    </xf>
    <xf numFmtId="0" fontId="55" fillId="0" borderId="2" xfId="0" applyFont="1" applyBorder="1" applyAlignment="1">
      <alignment horizontal="justify" vertical="center" wrapText="1"/>
    </xf>
    <xf numFmtId="14" fontId="35" fillId="0" borderId="0" xfId="3" applyNumberFormat="1" applyFont="1" applyFill="1"/>
    <xf numFmtId="14" fontId="37" fillId="0" borderId="0" xfId="3" applyNumberFormat="1" applyFont="1" applyFill="1"/>
    <xf numFmtId="14" fontId="35" fillId="0" borderId="0" xfId="3" applyNumberFormat="1" applyFont="1" applyFill="1" applyBorder="1"/>
    <xf numFmtId="0" fontId="20" fillId="0" borderId="0" xfId="0" applyFont="1" applyFill="1" applyAlignment="1">
      <alignment horizontal="center" vertical="center" wrapText="1"/>
    </xf>
    <xf numFmtId="14" fontId="20" fillId="13" borderId="63" xfId="0" applyNumberFormat="1" applyFont="1" applyFill="1" applyBorder="1" applyAlignment="1">
      <alignment vertical="center" wrapText="1"/>
    </xf>
    <xf numFmtId="14" fontId="20" fillId="13" borderId="22" xfId="0" applyNumberFormat="1" applyFont="1" applyFill="1" applyBorder="1" applyAlignment="1">
      <alignment vertical="center" wrapText="1"/>
    </xf>
    <xf numFmtId="14" fontId="57" fillId="5" borderId="0" xfId="3" applyNumberFormat="1" applyFont="1" applyFill="1" applyBorder="1" applyAlignment="1">
      <alignment horizontal="center"/>
    </xf>
    <xf numFmtId="169" fontId="20" fillId="0" borderId="18" xfId="0" applyNumberFormat="1" applyFont="1" applyFill="1" applyBorder="1" applyAlignment="1">
      <alignment vertical="center" wrapText="1"/>
    </xf>
    <xf numFmtId="0" fontId="13" fillId="0" borderId="25" xfId="11" applyFont="1" applyFill="1" applyBorder="1" applyAlignment="1">
      <alignment horizontal="left" vertical="justify" wrapText="1"/>
    </xf>
    <xf numFmtId="169" fontId="53" fillId="0" borderId="0" xfId="0" applyNumberFormat="1" applyFont="1" applyFill="1" applyBorder="1" applyAlignment="1">
      <alignment vertical="center" wrapText="1"/>
    </xf>
    <xf numFmtId="169" fontId="20" fillId="0" borderId="69" xfId="0" applyNumberFormat="1" applyFont="1" applyFill="1" applyBorder="1" applyAlignment="1">
      <alignment vertical="center" wrapText="1"/>
    </xf>
    <xf numFmtId="169" fontId="41" fillId="13" borderId="24" xfId="3" applyNumberFormat="1" applyFont="1" applyFill="1" applyBorder="1" applyAlignment="1">
      <alignment horizontal="center" vertical="center"/>
    </xf>
    <xf numFmtId="169" fontId="20" fillId="0" borderId="0" xfId="0" applyNumberFormat="1" applyFont="1" applyFill="1" applyAlignment="1">
      <alignment vertical="center" wrapText="1"/>
    </xf>
    <xf numFmtId="169" fontId="26" fillId="0" borderId="22" xfId="0" applyNumberFormat="1" applyFont="1" applyFill="1" applyBorder="1" applyAlignment="1">
      <alignment vertical="center" wrapText="1"/>
    </xf>
    <xf numFmtId="0" fontId="52" fillId="0" borderId="24" xfId="0" applyFont="1" applyFill="1" applyBorder="1" applyAlignment="1">
      <alignment horizontal="center" vertical="center" wrapText="1"/>
    </xf>
    <xf numFmtId="0" fontId="26" fillId="0" borderId="20" xfId="0" applyFont="1" applyFill="1" applyBorder="1" applyAlignment="1">
      <alignment vertical="center" wrapText="1"/>
    </xf>
    <xf numFmtId="0" fontId="26" fillId="0" borderId="24" xfId="0" applyFont="1" applyFill="1" applyBorder="1" applyAlignment="1">
      <alignment vertical="center" wrapText="1"/>
    </xf>
    <xf numFmtId="0" fontId="26" fillId="0" borderId="13" xfId="0" applyFont="1" applyFill="1" applyBorder="1" applyAlignment="1">
      <alignment vertical="center" wrapText="1"/>
    </xf>
    <xf numFmtId="0" fontId="26" fillId="0" borderId="22" xfId="0" applyFont="1" applyFill="1" applyBorder="1" applyAlignment="1">
      <alignment vertical="center" wrapText="1"/>
    </xf>
    <xf numFmtId="0" fontId="52" fillId="0" borderId="22" xfId="0" applyFont="1" applyFill="1" applyBorder="1" applyAlignment="1">
      <alignment horizontal="center" vertical="center" wrapText="1"/>
    </xf>
    <xf numFmtId="0" fontId="26" fillId="0" borderId="62" xfId="0" applyFont="1" applyFill="1" applyBorder="1" applyAlignment="1">
      <alignment vertical="center" wrapText="1"/>
    </xf>
    <xf numFmtId="14" fontId="26" fillId="0" borderId="63" xfId="0" applyNumberFormat="1" applyFont="1" applyFill="1" applyBorder="1" applyAlignment="1">
      <alignment vertical="center" wrapText="1"/>
    </xf>
    <xf numFmtId="14" fontId="26" fillId="0" borderId="22" xfId="0" applyNumberFormat="1" applyFont="1" applyFill="1" applyBorder="1" applyAlignment="1">
      <alignment vertical="center" wrapText="1"/>
    </xf>
    <xf numFmtId="14" fontId="26" fillId="0" borderId="64" xfId="0" applyNumberFormat="1" applyFont="1" applyFill="1" applyBorder="1" applyAlignment="1">
      <alignment vertical="center" wrapText="1"/>
    </xf>
    <xf numFmtId="0" fontId="26" fillId="0" borderId="23" xfId="0" applyFont="1" applyFill="1" applyBorder="1" applyAlignment="1">
      <alignment vertical="center" wrapText="1"/>
    </xf>
    <xf numFmtId="0" fontId="26" fillId="0" borderId="0" xfId="0" applyFont="1" applyFill="1" applyAlignment="1">
      <alignment horizontal="center" vertical="center" wrapText="1"/>
    </xf>
    <xf numFmtId="0" fontId="26" fillId="0" borderId="0" xfId="0" applyFont="1" applyFill="1" applyAlignment="1">
      <alignment vertical="center" wrapText="1"/>
    </xf>
    <xf numFmtId="0" fontId="26" fillId="0" borderId="14" xfId="0" applyFont="1" applyFill="1" applyBorder="1" applyAlignment="1">
      <alignment vertical="center" wrapText="1"/>
    </xf>
    <xf numFmtId="0" fontId="26" fillId="0" borderId="65" xfId="0" applyFont="1" applyFill="1" applyBorder="1" applyAlignment="1">
      <alignment vertical="center" wrapText="1"/>
    </xf>
    <xf numFmtId="169" fontId="26" fillId="0" borderId="24" xfId="0" applyNumberFormat="1" applyFont="1" applyFill="1" applyBorder="1" applyAlignment="1">
      <alignment vertical="center" wrapText="1"/>
    </xf>
    <xf numFmtId="0" fontId="26" fillId="0" borderId="47" xfId="0" applyFont="1" applyFill="1" applyBorder="1" applyAlignment="1">
      <alignment vertical="center" wrapText="1"/>
    </xf>
    <xf numFmtId="0" fontId="26" fillId="0" borderId="48" xfId="0" applyFont="1" applyFill="1" applyBorder="1" applyAlignment="1">
      <alignment vertical="center" wrapText="1"/>
    </xf>
    <xf numFmtId="0" fontId="26" fillId="0" borderId="41" xfId="0" applyFont="1" applyFill="1" applyBorder="1" applyAlignment="1">
      <alignment vertical="center" wrapText="1"/>
    </xf>
    <xf numFmtId="0" fontId="59" fillId="0" borderId="60" xfId="1" applyFont="1" applyFill="1" applyBorder="1" applyAlignment="1" applyProtection="1">
      <alignment vertical="center" wrapText="1"/>
    </xf>
    <xf numFmtId="0" fontId="27" fillId="0" borderId="60" xfId="1" applyFont="1" applyFill="1" applyBorder="1" applyAlignment="1" applyProtection="1">
      <alignment vertical="center" wrapText="1"/>
    </xf>
    <xf numFmtId="0" fontId="26" fillId="0" borderId="21" xfId="0" applyFont="1" applyFill="1" applyBorder="1" applyAlignment="1">
      <alignment vertical="center" wrapText="1"/>
    </xf>
    <xf numFmtId="0" fontId="26" fillId="0" borderId="69" xfId="0" applyFont="1" applyFill="1" applyBorder="1" applyAlignment="1">
      <alignment vertical="center" wrapText="1"/>
    </xf>
    <xf numFmtId="0" fontId="52" fillId="0" borderId="69" xfId="0" applyFont="1" applyFill="1" applyBorder="1" applyAlignment="1">
      <alignment horizontal="center" vertical="center" wrapText="1"/>
    </xf>
    <xf numFmtId="0" fontId="26" fillId="0" borderId="70" xfId="0" applyFont="1" applyFill="1" applyBorder="1" applyAlignment="1">
      <alignment vertical="center" wrapText="1"/>
    </xf>
    <xf numFmtId="0" fontId="26" fillId="0" borderId="71" xfId="0" applyFont="1" applyFill="1" applyBorder="1" applyAlignment="1">
      <alignment vertical="center" wrapText="1"/>
    </xf>
    <xf numFmtId="0" fontId="41" fillId="0" borderId="0" xfId="3" applyFont="1" applyFill="1"/>
    <xf numFmtId="0" fontId="41" fillId="0" borderId="49" xfId="3" applyFont="1" applyFill="1" applyBorder="1"/>
    <xf numFmtId="0" fontId="41" fillId="0" borderId="53" xfId="3" applyFont="1" applyFill="1" applyBorder="1"/>
    <xf numFmtId="14" fontId="26" fillId="0" borderId="0" xfId="0" applyNumberFormat="1" applyFont="1" applyFill="1" applyAlignment="1">
      <alignment vertical="center" wrapText="1"/>
    </xf>
    <xf numFmtId="0" fontId="20" fillId="0" borderId="0" xfId="0" applyFont="1" applyFill="1" applyBorder="1" applyAlignment="1">
      <alignment horizontal="center" vertical="center" wrapText="1"/>
    </xf>
    <xf numFmtId="17" fontId="37" fillId="0" borderId="0" xfId="3" applyNumberFormat="1" applyFont="1" applyFill="1" applyBorder="1" applyAlignment="1">
      <alignment horizontal="right"/>
    </xf>
    <xf numFmtId="0" fontId="35" fillId="0" borderId="2" xfId="3" applyFont="1" applyFill="1" applyBorder="1"/>
    <xf numFmtId="180" fontId="35" fillId="0" borderId="0" xfId="3" applyNumberFormat="1" applyFont="1" applyFill="1" applyBorder="1"/>
    <xf numFmtId="180" fontId="35" fillId="0" borderId="0" xfId="3" applyNumberFormat="1" applyFont="1" applyFill="1" applyBorder="1" applyAlignment="1">
      <alignment horizontal="center"/>
    </xf>
    <xf numFmtId="188" fontId="35" fillId="0" borderId="0" xfId="3" applyNumberFormat="1" applyFont="1" applyFill="1" applyBorder="1"/>
    <xf numFmtId="189" fontId="35" fillId="0" borderId="0" xfId="3" applyNumberFormat="1" applyFont="1" applyFill="1"/>
    <xf numFmtId="17" fontId="0" fillId="6" borderId="2" xfId="0" applyNumberFormat="1" applyFill="1" applyBorder="1" applyAlignment="1">
      <alignment horizontal="center"/>
    </xf>
    <xf numFmtId="168" fontId="20" fillId="0" borderId="0" xfId="9" applyFont="1" applyFill="1" applyAlignment="1">
      <alignment vertical="center" wrapText="1"/>
    </xf>
    <xf numFmtId="168" fontId="20" fillId="0" borderId="0" xfId="0" applyNumberFormat="1" applyFont="1" applyFill="1" applyAlignment="1">
      <alignment vertical="center" wrapText="1"/>
    </xf>
    <xf numFmtId="0" fontId="10" fillId="0" borderId="60" xfId="1" applyFill="1" applyBorder="1" applyAlignment="1" applyProtection="1">
      <alignment vertical="center" wrapText="1"/>
    </xf>
    <xf numFmtId="182" fontId="20" fillId="0" borderId="0" xfId="0" applyNumberFormat="1" applyFont="1" applyFill="1" applyBorder="1" applyAlignment="1">
      <alignment vertical="center" wrapText="1"/>
    </xf>
    <xf numFmtId="14" fontId="20" fillId="0" borderId="64" xfId="0" applyNumberFormat="1" applyFont="1" applyFill="1" applyBorder="1" applyAlignment="1">
      <alignment vertical="center" wrapText="1"/>
    </xf>
    <xf numFmtId="14" fontId="26" fillId="0" borderId="15" xfId="0" applyNumberFormat="1" applyFont="1" applyFill="1" applyBorder="1" applyAlignment="1">
      <alignment horizontal="center" vertical="center" wrapText="1"/>
    </xf>
    <xf numFmtId="0" fontId="26" fillId="0" borderId="65" xfId="0" applyFont="1" applyFill="1" applyBorder="1" applyAlignment="1">
      <alignment horizontal="justify" vertical="center" wrapText="1"/>
    </xf>
    <xf numFmtId="0" fontId="22" fillId="0" borderId="18" xfId="0" applyFont="1" applyFill="1" applyBorder="1" applyAlignment="1">
      <alignment vertical="center" wrapText="1"/>
    </xf>
    <xf numFmtId="0" fontId="13" fillId="0" borderId="22" xfId="11" applyFont="1" applyFill="1" applyBorder="1" applyAlignment="1">
      <alignment horizontal="left" wrapText="1"/>
    </xf>
    <xf numFmtId="0" fontId="58" fillId="0" borderId="22" xfId="11" applyFont="1" applyFill="1" applyBorder="1" applyAlignment="1">
      <alignment horizontal="left" wrapText="1"/>
    </xf>
    <xf numFmtId="167" fontId="20" fillId="0" borderId="0" xfId="12" applyFont="1" applyFill="1" applyBorder="1" applyAlignment="1">
      <alignment vertical="center" wrapText="1"/>
    </xf>
    <xf numFmtId="0" fontId="20" fillId="26" borderId="22" xfId="0" applyFont="1" applyFill="1" applyBorder="1" applyAlignment="1">
      <alignment vertical="center" wrapText="1"/>
    </xf>
    <xf numFmtId="0" fontId="20" fillId="26" borderId="62" xfId="0" applyFont="1" applyFill="1" applyBorder="1" applyAlignment="1">
      <alignment vertical="center" wrapText="1"/>
    </xf>
    <xf numFmtId="14" fontId="26" fillId="26" borderId="63" xfId="0" applyNumberFormat="1" applyFont="1" applyFill="1" applyBorder="1" applyAlignment="1">
      <alignment horizontal="center" vertical="center" wrapText="1"/>
    </xf>
    <xf numFmtId="191" fontId="37" fillId="0" borderId="0" xfId="3" applyNumberFormat="1" applyFont="1" applyFill="1" applyBorder="1"/>
    <xf numFmtId="187" fontId="37" fillId="3" borderId="2" xfId="7" applyNumberFormat="1" applyFont="1" applyFill="1" applyBorder="1" applyAlignment="1">
      <alignment horizontal="center"/>
    </xf>
    <xf numFmtId="168" fontId="56" fillId="0" borderId="0" xfId="3" applyNumberFormat="1" applyFont="1" applyFill="1" applyBorder="1"/>
    <xf numFmtId="187" fontId="35" fillId="0" borderId="0" xfId="3" applyNumberFormat="1" applyFont="1" applyFill="1"/>
    <xf numFmtId="172" fontId="37" fillId="3" borderId="2" xfId="9" applyNumberFormat="1" applyFont="1" applyFill="1" applyBorder="1" applyAlignment="1">
      <alignment horizontal="center"/>
    </xf>
    <xf numFmtId="192" fontId="35" fillId="0" borderId="0" xfId="3" applyNumberFormat="1" applyFont="1" applyFill="1" applyBorder="1"/>
    <xf numFmtId="193" fontId="35" fillId="0" borderId="0" xfId="3" applyNumberFormat="1" applyFont="1" applyFill="1" applyBorder="1"/>
    <xf numFmtId="17" fontId="41" fillId="0" borderId="2" xfId="3" applyNumberFormat="1" applyFont="1" applyFill="1" applyBorder="1" applyAlignment="1">
      <alignment horizontal="left" vertical="center" wrapText="1"/>
    </xf>
    <xf numFmtId="17" fontId="41" fillId="0" borderId="4" xfId="3" applyNumberFormat="1" applyFont="1" applyFill="1" applyBorder="1" applyAlignment="1">
      <alignment horizontal="left" vertical="center" wrapText="1"/>
    </xf>
    <xf numFmtId="17" fontId="41" fillId="0" borderId="7" xfId="3" applyNumberFormat="1" applyFont="1" applyFill="1" applyBorder="1" applyAlignment="1">
      <alignment horizontal="left" vertical="center" wrapText="1"/>
    </xf>
    <xf numFmtId="0" fontId="41" fillId="0" borderId="0" xfId="3" applyFont="1" applyFill="1" applyBorder="1"/>
    <xf numFmtId="17" fontId="41" fillId="0" borderId="25" xfId="3" applyNumberFormat="1" applyFont="1" applyFill="1" applyBorder="1" applyAlignment="1">
      <alignment horizontal="left" vertical="center" wrapText="1"/>
    </xf>
    <xf numFmtId="17" fontId="41" fillId="0" borderId="18" xfId="3" applyNumberFormat="1" applyFont="1" applyFill="1" applyBorder="1" applyAlignment="1">
      <alignment horizontal="left" vertical="center" wrapText="1"/>
    </xf>
    <xf numFmtId="167" fontId="20" fillId="0" borderId="0" xfId="12" applyFont="1" applyFill="1" applyAlignment="1">
      <alignment vertical="center" wrapText="1"/>
    </xf>
    <xf numFmtId="167" fontId="35" fillId="0" borderId="0" xfId="12" applyFont="1" applyFill="1"/>
    <xf numFmtId="194" fontId="37" fillId="0" borderId="0" xfId="3" applyNumberFormat="1" applyFont="1" applyFill="1"/>
    <xf numFmtId="17" fontId="37" fillId="3" borderId="4" xfId="3" applyNumberFormat="1" applyFont="1" applyFill="1" applyBorder="1"/>
    <xf numFmtId="17" fontId="37" fillId="3" borderId="12" xfId="3" applyNumberFormat="1" applyFont="1" applyFill="1" applyBorder="1"/>
    <xf numFmtId="17" fontId="37" fillId="3" borderId="7" xfId="3" applyNumberFormat="1" applyFont="1" applyFill="1" applyBorder="1"/>
    <xf numFmtId="0" fontId="36" fillId="0" borderId="25" xfId="3" applyFont="1" applyFill="1" applyBorder="1" applyAlignment="1">
      <alignment horizontal="center"/>
    </xf>
    <xf numFmtId="172" fontId="36" fillId="0" borderId="18" xfId="7" applyNumberFormat="1" applyFont="1" applyFill="1" applyBorder="1" applyAlignment="1">
      <alignment horizontal="center"/>
    </xf>
    <xf numFmtId="172" fontId="35" fillId="0" borderId="0" xfId="7" applyNumberFormat="1" applyFont="1" applyFill="1" applyBorder="1" applyAlignment="1">
      <alignment horizontal="center"/>
    </xf>
    <xf numFmtId="172" fontId="35" fillId="11" borderId="40" xfId="7" applyNumberFormat="1" applyFont="1" applyFill="1" applyBorder="1" applyAlignment="1">
      <alignment horizontal="justify"/>
    </xf>
    <xf numFmtId="172" fontId="35" fillId="11" borderId="27" xfId="7" applyNumberFormat="1" applyFont="1" applyFill="1" applyBorder="1" applyAlignment="1">
      <alignment horizontal="justify"/>
    </xf>
    <xf numFmtId="14" fontId="37" fillId="0" borderId="74" xfId="3" applyNumberFormat="1" applyFont="1" applyFill="1" applyBorder="1" applyAlignment="1">
      <alignment horizontal="center" wrapText="1"/>
    </xf>
    <xf numFmtId="14" fontId="35" fillId="13" borderId="50" xfId="3" applyNumberFormat="1" applyFont="1" applyFill="1" applyBorder="1"/>
    <xf numFmtId="14" fontId="35" fillId="13" borderId="0" xfId="3" applyNumberFormat="1" applyFont="1" applyFill="1" applyBorder="1"/>
    <xf numFmtId="0" fontId="35" fillId="13" borderId="0" xfId="3" applyFont="1" applyFill="1" applyBorder="1"/>
    <xf numFmtId="0" fontId="35" fillId="13" borderId="51" xfId="3" applyFont="1" applyFill="1" applyBorder="1"/>
    <xf numFmtId="1" fontId="63" fillId="8" borderId="75" xfId="3" applyNumberFormat="1" applyFont="1" applyFill="1" applyBorder="1" applyAlignment="1">
      <alignment horizontal="right"/>
    </xf>
    <xf numFmtId="1" fontId="63" fillId="8" borderId="76" xfId="3" applyNumberFormat="1" applyFont="1" applyFill="1" applyBorder="1" applyAlignment="1">
      <alignment horizontal="right"/>
    </xf>
    <xf numFmtId="1" fontId="63" fillId="8" borderId="77" xfId="3" applyNumberFormat="1" applyFont="1" applyFill="1" applyBorder="1" applyAlignment="1">
      <alignment horizontal="right"/>
    </xf>
    <xf numFmtId="1" fontId="63" fillId="9" borderId="75" xfId="3" applyNumberFormat="1" applyFont="1" applyFill="1" applyBorder="1" applyAlignment="1"/>
    <xf numFmtId="1" fontId="63" fillId="9" borderId="76" xfId="3" applyNumberFormat="1" applyFont="1" applyFill="1" applyBorder="1" applyAlignment="1"/>
    <xf numFmtId="1" fontId="63" fillId="9" borderId="77" xfId="3" applyNumberFormat="1" applyFont="1" applyFill="1" applyBorder="1" applyAlignment="1"/>
    <xf numFmtId="1" fontId="63" fillId="10" borderId="75" xfId="3" applyNumberFormat="1" applyFont="1" applyFill="1" applyBorder="1" applyAlignment="1"/>
    <xf numFmtId="1" fontId="63" fillId="10" borderId="76" xfId="3" applyNumberFormat="1" applyFont="1" applyFill="1" applyBorder="1" applyAlignment="1"/>
    <xf numFmtId="1" fontId="63" fillId="10" borderId="77" xfId="3" applyNumberFormat="1" applyFont="1" applyFill="1" applyBorder="1" applyAlignment="1"/>
    <xf numFmtId="1" fontId="63" fillId="29" borderId="75" xfId="3" applyNumberFormat="1" applyFont="1" applyFill="1" applyBorder="1" applyAlignment="1"/>
    <xf numFmtId="1" fontId="63" fillId="29" borderId="76" xfId="3" applyNumberFormat="1" applyFont="1" applyFill="1" applyBorder="1" applyAlignment="1"/>
    <xf numFmtId="1" fontId="63" fillId="29" borderId="77" xfId="3" applyNumberFormat="1" applyFont="1" applyFill="1" applyBorder="1" applyAlignment="1"/>
    <xf numFmtId="1" fontId="63" fillId="30" borderId="75" xfId="3" applyNumberFormat="1" applyFont="1" applyFill="1" applyBorder="1" applyAlignment="1">
      <alignment horizontal="right"/>
    </xf>
    <xf numFmtId="1" fontId="63" fillId="30" borderId="76" xfId="3" applyNumberFormat="1" applyFont="1" applyFill="1" applyBorder="1" applyAlignment="1">
      <alignment horizontal="right"/>
    </xf>
    <xf numFmtId="1" fontId="63" fillId="30" borderId="77" xfId="3" applyNumberFormat="1" applyFont="1" applyFill="1" applyBorder="1" applyAlignment="1">
      <alignment horizontal="right"/>
    </xf>
    <xf numFmtId="1" fontId="63" fillId="31" borderId="75" xfId="3" applyNumberFormat="1" applyFont="1" applyFill="1" applyBorder="1" applyAlignment="1"/>
    <xf numFmtId="1" fontId="63" fillId="31" borderId="76" xfId="3" applyNumberFormat="1" applyFont="1" applyFill="1" applyBorder="1" applyAlignment="1"/>
    <xf numFmtId="1" fontId="63" fillId="31" borderId="77" xfId="3" applyNumberFormat="1" applyFont="1" applyFill="1" applyBorder="1" applyAlignment="1"/>
    <xf numFmtId="1" fontId="63" fillId="28" borderId="78" xfId="3" applyNumberFormat="1" applyFont="1" applyFill="1" applyBorder="1" applyAlignment="1"/>
    <xf numFmtId="1" fontId="63" fillId="28" borderId="79" xfId="3" applyNumberFormat="1" applyFont="1" applyFill="1" applyBorder="1" applyAlignment="1"/>
    <xf numFmtId="1" fontId="63" fillId="28" borderId="80" xfId="3" applyNumberFormat="1" applyFont="1" applyFill="1" applyBorder="1" applyAlignment="1"/>
    <xf numFmtId="172" fontId="33" fillId="0" borderId="4" xfId="7" applyNumberFormat="1" applyFont="1" applyFill="1" applyBorder="1" applyAlignment="1">
      <alignment horizontal="center"/>
    </xf>
    <xf numFmtId="173" fontId="37" fillId="0" borderId="51" xfId="3" applyNumberFormat="1" applyFont="1" applyFill="1" applyBorder="1" applyAlignment="1">
      <alignment horizontal="right"/>
    </xf>
    <xf numFmtId="190" fontId="37" fillId="0" borderId="0" xfId="3" applyNumberFormat="1" applyFont="1" applyFill="1" applyBorder="1" applyAlignment="1">
      <alignment horizontal="center"/>
    </xf>
    <xf numFmtId="0" fontId="35" fillId="0" borderId="0" xfId="3" applyFont="1" applyFill="1" applyBorder="1" applyAlignment="1">
      <alignment wrapText="1"/>
    </xf>
    <xf numFmtId="0" fontId="35" fillId="0" borderId="0" xfId="3" applyFont="1" applyFill="1" applyBorder="1" applyAlignment="1">
      <alignment vertical="justify" wrapText="1"/>
    </xf>
    <xf numFmtId="172" fontId="37" fillId="0" borderId="0" xfId="3" applyNumberFormat="1" applyFont="1" applyFill="1" applyBorder="1"/>
    <xf numFmtId="172" fontId="61" fillId="0" borderId="0" xfId="9" applyNumberFormat="1" applyFont="1" applyFill="1" applyBorder="1" applyAlignment="1">
      <alignment horizontal="right" vertical="center" wrapText="1"/>
    </xf>
    <xf numFmtId="0" fontId="37" fillId="0" borderId="0" xfId="3" applyFont="1" applyFill="1" applyBorder="1" applyAlignment="1">
      <alignment wrapText="1"/>
    </xf>
    <xf numFmtId="2" fontId="41" fillId="0" borderId="0" xfId="3" applyNumberFormat="1" applyFont="1" applyFill="1"/>
    <xf numFmtId="172" fontId="33" fillId="0" borderId="2" xfId="7" applyNumberFormat="1" applyFont="1" applyFill="1" applyBorder="1" applyAlignment="1">
      <alignment horizontal="center"/>
    </xf>
    <xf numFmtId="172" fontId="33" fillId="0" borderId="25" xfId="7" applyNumberFormat="1" applyFont="1" applyFill="1" applyBorder="1" applyAlignment="1">
      <alignment horizontal="center"/>
    </xf>
    <xf numFmtId="2" fontId="41" fillId="0" borderId="0" xfId="10" applyNumberFormat="1" applyFont="1" applyFill="1"/>
    <xf numFmtId="172" fontId="35" fillId="0" borderId="14" xfId="7" applyNumberFormat="1" applyFont="1" applyFill="1" applyBorder="1" applyAlignment="1">
      <alignment horizontal="center"/>
    </xf>
    <xf numFmtId="0" fontId="37" fillId="0" borderId="2" xfId="3" applyFont="1" applyFill="1" applyBorder="1" applyAlignment="1">
      <alignment horizontal="left" vertical="center" wrapText="1"/>
    </xf>
    <xf numFmtId="0" fontId="23" fillId="4" borderId="2" xfId="0" applyFont="1" applyFill="1" applyBorder="1" applyAlignment="1">
      <alignment horizontal="center" vertical="center" wrapText="1"/>
    </xf>
    <xf numFmtId="1" fontId="63" fillId="18" borderId="78" xfId="3" applyNumberFormat="1" applyFont="1" applyFill="1" applyBorder="1" applyAlignment="1"/>
    <xf numFmtId="1" fontId="63" fillId="18" borderId="79" xfId="3" applyNumberFormat="1" applyFont="1" applyFill="1" applyBorder="1" applyAlignment="1"/>
    <xf numFmtId="1" fontId="63" fillId="18" borderId="80" xfId="3" applyNumberFormat="1" applyFont="1" applyFill="1" applyBorder="1" applyAlignment="1"/>
    <xf numFmtId="0" fontId="20" fillId="0" borderId="29" xfId="0" applyFont="1" applyFill="1" applyBorder="1" applyAlignment="1">
      <alignment vertical="center" wrapText="1"/>
    </xf>
    <xf numFmtId="0" fontId="20" fillId="0" borderId="25" xfId="0" applyFont="1" applyFill="1" applyBorder="1" applyAlignment="1">
      <alignment vertical="center" wrapText="1"/>
    </xf>
    <xf numFmtId="14" fontId="20" fillId="0" borderId="25" xfId="0" applyNumberFormat="1" applyFont="1" applyFill="1" applyBorder="1" applyAlignment="1">
      <alignment vertical="center" wrapText="1"/>
    </xf>
    <xf numFmtId="0" fontId="20" fillId="0" borderId="27" xfId="0" applyFont="1" applyFill="1" applyBorder="1" applyAlignment="1">
      <alignment vertical="center" wrapText="1"/>
    </xf>
    <xf numFmtId="0" fontId="26" fillId="0" borderId="29" xfId="0" applyFont="1" applyFill="1" applyBorder="1" applyAlignment="1">
      <alignment horizontal="justify" vertical="center" wrapText="1"/>
    </xf>
    <xf numFmtId="0" fontId="13" fillId="0" borderId="25" xfId="11" applyFont="1" applyFill="1" applyBorder="1" applyAlignment="1">
      <alignment horizontal="left" wrapText="1"/>
    </xf>
    <xf numFmtId="0" fontId="20" fillId="0" borderId="33" xfId="0" applyFont="1" applyFill="1" applyBorder="1" applyAlignment="1">
      <alignment vertical="center" wrapText="1"/>
    </xf>
    <xf numFmtId="0" fontId="20" fillId="0" borderId="47" xfId="0" applyFont="1" applyFill="1" applyBorder="1" applyAlignment="1">
      <alignment vertical="center" wrapText="1"/>
    </xf>
    <xf numFmtId="0" fontId="22" fillId="0" borderId="47" xfId="0" applyFont="1" applyFill="1" applyBorder="1" applyAlignment="1">
      <alignment vertical="center" wrapText="1"/>
    </xf>
    <xf numFmtId="172" fontId="35" fillId="0" borderId="0" xfId="3" applyNumberFormat="1" applyFont="1" applyFill="1" applyBorder="1" applyAlignment="1">
      <alignment horizontal="center"/>
    </xf>
    <xf numFmtId="174" fontId="35" fillId="0" borderId="0" xfId="8" applyNumberFormat="1" applyFont="1" applyFill="1" applyAlignment="1">
      <alignment horizontal="right"/>
    </xf>
    <xf numFmtId="172" fontId="33" fillId="0" borderId="18" xfId="7" applyNumberFormat="1" applyFont="1" applyFill="1" applyBorder="1" applyAlignment="1">
      <alignment horizontal="center"/>
    </xf>
    <xf numFmtId="172" fontId="33" fillId="0" borderId="40" xfId="7" applyNumberFormat="1" applyFont="1" applyFill="1" applyBorder="1" applyAlignment="1">
      <alignment horizontal="center"/>
    </xf>
    <xf numFmtId="172" fontId="33" fillId="0" borderId="2" xfId="9" applyNumberFormat="1" applyFont="1" applyFill="1" applyBorder="1" applyAlignment="1">
      <alignment horizontal="center"/>
    </xf>
    <xf numFmtId="172" fontId="33" fillId="0" borderId="4" xfId="9" applyNumberFormat="1" applyFont="1" applyFill="1" applyBorder="1" applyAlignment="1">
      <alignment horizontal="center"/>
    </xf>
    <xf numFmtId="172" fontId="33" fillId="0" borderId="7" xfId="7" applyNumberFormat="1" applyFont="1" applyFill="1" applyBorder="1" applyAlignment="1">
      <alignment horizontal="center"/>
    </xf>
    <xf numFmtId="172" fontId="41" fillId="0" borderId="2" xfId="3" applyNumberFormat="1" applyFont="1" applyFill="1" applyBorder="1"/>
    <xf numFmtId="172" fontId="41" fillId="0" borderId="25" xfId="3" applyNumberFormat="1" applyFont="1" applyFill="1" applyBorder="1"/>
    <xf numFmtId="172" fontId="41" fillId="0" borderId="4" xfId="3" applyNumberFormat="1" applyFont="1" applyFill="1" applyBorder="1"/>
    <xf numFmtId="172" fontId="33" fillId="0" borderId="25" xfId="7" applyNumberFormat="1" applyFont="1" applyFill="1" applyBorder="1" applyAlignment="1">
      <alignment horizontal="left"/>
    </xf>
    <xf numFmtId="172" fontId="33" fillId="0" borderId="4" xfId="7" applyNumberFormat="1" applyFont="1" applyFill="1" applyBorder="1" applyAlignment="1">
      <alignment horizontal="left"/>
    </xf>
    <xf numFmtId="172" fontId="41" fillId="0" borderId="0" xfId="3" applyNumberFormat="1" applyFont="1" applyFill="1"/>
    <xf numFmtId="172" fontId="37" fillId="0" borderId="2" xfId="7" applyNumberFormat="1" applyFont="1" applyFill="1" applyBorder="1" applyAlignment="1">
      <alignment horizontal="center"/>
    </xf>
    <xf numFmtId="172" fontId="37" fillId="0" borderId="14" xfId="7" applyNumberFormat="1" applyFont="1" applyFill="1" applyBorder="1" applyAlignment="1">
      <alignment horizontal="center"/>
    </xf>
    <xf numFmtId="172" fontId="35" fillId="11" borderId="18" xfId="7" applyNumberFormat="1" applyFont="1" applyFill="1" applyBorder="1" applyAlignment="1">
      <alignment horizontal="center"/>
    </xf>
    <xf numFmtId="172" fontId="35" fillId="11" borderId="25" xfId="7" applyNumberFormat="1" applyFont="1" applyFill="1" applyBorder="1" applyAlignment="1">
      <alignment horizontal="center"/>
    </xf>
    <xf numFmtId="172" fontId="37" fillId="3" borderId="4" xfId="7" applyNumberFormat="1" applyFont="1" applyFill="1" applyBorder="1" applyAlignment="1">
      <alignment horizontal="center"/>
    </xf>
    <xf numFmtId="172" fontId="37" fillId="3" borderId="7" xfId="7" applyNumberFormat="1" applyFont="1" applyFill="1" applyBorder="1" applyAlignment="1">
      <alignment horizontal="center"/>
    </xf>
    <xf numFmtId="187" fontId="33" fillId="0" borderId="4" xfId="7" applyNumberFormat="1" applyFont="1" applyFill="1" applyBorder="1" applyAlignment="1">
      <alignment horizontal="center"/>
    </xf>
    <xf numFmtId="174" fontId="12" fillId="0" borderId="0" xfId="318" applyNumberFormat="1" applyFont="1" applyAlignment="1">
      <alignment horizontal="center"/>
    </xf>
    <xf numFmtId="168" fontId="12" fillId="0" borderId="0" xfId="318" applyFont="1"/>
    <xf numFmtId="17" fontId="13" fillId="6" borderId="2" xfId="0" applyNumberFormat="1" applyFont="1" applyFill="1" applyBorder="1" applyAlignment="1">
      <alignment horizontal="center"/>
    </xf>
    <xf numFmtId="10" fontId="13" fillId="0" borderId="0" xfId="5" applyNumberFormat="1" applyFont="1"/>
    <xf numFmtId="174" fontId="12" fillId="0" borderId="2" xfId="318" applyNumberFormat="1" applyFont="1" applyBorder="1" applyAlignment="1">
      <alignment horizontal="center"/>
    </xf>
    <xf numFmtId="10" fontId="13" fillId="0" borderId="0" xfId="5" applyNumberFormat="1" applyFont="1" applyFill="1"/>
    <xf numFmtId="10" fontId="0" fillId="0" borderId="0" xfId="5" applyNumberFormat="1" applyFont="1"/>
    <xf numFmtId="174" fontId="13" fillId="6" borderId="2" xfId="318" applyNumberFormat="1" applyFont="1" applyFill="1" applyBorder="1"/>
    <xf numFmtId="174" fontId="12" fillId="0" borderId="2" xfId="318" applyNumberFormat="1" applyFont="1" applyFill="1" applyBorder="1"/>
    <xf numFmtId="174" fontId="12" fillId="20" borderId="22" xfId="318" applyNumberFormat="1" applyFont="1" applyFill="1" applyBorder="1" applyAlignment="1">
      <alignment horizontal="center"/>
    </xf>
    <xf numFmtId="184" fontId="33" fillId="0" borderId="2" xfId="7" applyNumberFormat="1" applyFont="1" applyFill="1" applyBorder="1" applyAlignment="1">
      <alignment horizontal="center"/>
    </xf>
    <xf numFmtId="167" fontId="13" fillId="0" borderId="0" xfId="12" applyFont="1" applyFill="1" applyBorder="1"/>
    <xf numFmtId="172" fontId="48" fillId="0" borderId="18" xfId="9" applyNumberFormat="1" applyFont="1" applyFill="1" applyBorder="1" applyAlignment="1">
      <alignment vertical="justify"/>
    </xf>
    <xf numFmtId="14" fontId="26" fillId="0" borderId="18" xfId="0" applyNumberFormat="1" applyFont="1" applyFill="1" applyBorder="1" applyAlignment="1">
      <alignment horizontal="left" vertical="center" wrapText="1"/>
    </xf>
    <xf numFmtId="14" fontId="20" fillId="0" borderId="18" xfId="0" applyNumberFormat="1" applyFont="1" applyFill="1" applyBorder="1" applyAlignment="1">
      <alignment vertical="center" wrapText="1"/>
    </xf>
    <xf numFmtId="0" fontId="49" fillId="0" borderId="0" xfId="0" applyFont="1" applyBorder="1" applyAlignment="1">
      <alignment horizontal="justify" vertical="center" wrapText="1"/>
    </xf>
    <xf numFmtId="172" fontId="20" fillId="0" borderId="0" xfId="9" applyNumberFormat="1" applyFont="1" applyFill="1" applyBorder="1" applyAlignment="1">
      <alignment vertical="center" wrapText="1"/>
    </xf>
    <xf numFmtId="168" fontId="41" fillId="0" borderId="53" xfId="9" applyFont="1" applyFill="1" applyBorder="1"/>
    <xf numFmtId="169" fontId="41" fillId="0" borderId="0" xfId="3" applyNumberFormat="1" applyFont="1" applyFill="1"/>
    <xf numFmtId="168" fontId="37" fillId="0" borderId="14" xfId="7" applyNumberFormat="1" applyFont="1" applyFill="1" applyBorder="1" applyAlignment="1">
      <alignment horizontal="center"/>
    </xf>
    <xf numFmtId="185" fontId="37" fillId="0" borderId="0" xfId="7" applyNumberFormat="1" applyFont="1" applyFill="1" applyBorder="1" applyAlignment="1">
      <alignment horizontal="center"/>
    </xf>
    <xf numFmtId="187" fontId="37" fillId="0" borderId="0" xfId="7" applyNumberFormat="1" applyFont="1" applyFill="1" applyBorder="1" applyAlignment="1">
      <alignment horizontal="center"/>
    </xf>
    <xf numFmtId="187" fontId="33" fillId="0" borderId="2" xfId="7" applyNumberFormat="1" applyFont="1" applyFill="1" applyBorder="1" applyAlignment="1">
      <alignment horizontal="center"/>
    </xf>
    <xf numFmtId="168" fontId="41" fillId="0" borderId="0" xfId="9" applyFont="1" applyFill="1"/>
    <xf numFmtId="187" fontId="41" fillId="0" borderId="0" xfId="3" applyNumberFormat="1" applyFont="1" applyFill="1"/>
    <xf numFmtId="0" fontId="70" fillId="0" borderId="0" xfId="3" applyFont="1" applyFill="1"/>
    <xf numFmtId="201" fontId="41" fillId="0" borderId="0" xfId="3" applyNumberFormat="1" applyFont="1" applyFill="1"/>
    <xf numFmtId="165" fontId="41" fillId="0" borderId="0" xfId="3" applyNumberFormat="1" applyFont="1" applyFill="1"/>
    <xf numFmtId="165" fontId="41" fillId="0" borderId="0" xfId="3" applyNumberFormat="1" applyFont="1" applyFill="1" applyBorder="1"/>
    <xf numFmtId="202" fontId="41" fillId="0" borderId="0" xfId="3" applyNumberFormat="1" applyFont="1" applyFill="1"/>
    <xf numFmtId="169" fontId="41" fillId="0" borderId="49" xfId="3" applyNumberFormat="1" applyFont="1" applyFill="1" applyBorder="1"/>
    <xf numFmtId="0" fontId="37" fillId="34" borderId="0" xfId="3" applyFont="1" applyFill="1" applyBorder="1"/>
    <xf numFmtId="173" fontId="72" fillId="0" borderId="0" xfId="3" applyNumberFormat="1" applyFont="1" applyFill="1" applyBorder="1" applyAlignment="1">
      <alignment horizontal="right"/>
    </xf>
    <xf numFmtId="173" fontId="63" fillId="0" borderId="0" xfId="3" applyNumberFormat="1" applyFont="1" applyFill="1" applyBorder="1" applyAlignment="1">
      <alignment horizontal="right"/>
    </xf>
    <xf numFmtId="176" fontId="72" fillId="0" borderId="0" xfId="3" applyNumberFormat="1" applyFont="1" applyFill="1" applyBorder="1" applyAlignment="1">
      <alignment horizontal="center"/>
    </xf>
    <xf numFmtId="173" fontId="63" fillId="14" borderId="0" xfId="3" applyNumberFormat="1" applyFont="1" applyFill="1" applyBorder="1" applyAlignment="1">
      <alignment horizontal="right"/>
    </xf>
    <xf numFmtId="200" fontId="33" fillId="0" borderId="2" xfId="7" applyNumberFormat="1" applyFont="1" applyFill="1" applyBorder="1" applyAlignment="1">
      <alignment horizontal="center"/>
    </xf>
    <xf numFmtId="0" fontId="62" fillId="12" borderId="61" xfId="3" applyFont="1" applyFill="1" applyBorder="1" applyAlignment="1">
      <alignment horizontal="center" vertical="center"/>
    </xf>
    <xf numFmtId="0" fontId="62" fillId="12" borderId="35" xfId="3" applyFont="1" applyFill="1" applyBorder="1" applyAlignment="1">
      <alignment horizontal="center" vertical="center"/>
    </xf>
    <xf numFmtId="0" fontId="39" fillId="12" borderId="72" xfId="3" applyFont="1" applyFill="1" applyBorder="1" applyAlignment="1">
      <alignment horizontal="center" vertical="center"/>
    </xf>
    <xf numFmtId="17" fontId="62" fillId="12" borderId="82" xfId="3" applyNumberFormat="1" applyFont="1" applyFill="1" applyBorder="1" applyAlignment="1">
      <alignment horizontal="right"/>
    </xf>
    <xf numFmtId="17" fontId="62" fillId="12" borderId="25" xfId="3" applyNumberFormat="1" applyFont="1" applyFill="1" applyBorder="1" applyAlignment="1">
      <alignment horizontal="right"/>
    </xf>
    <xf numFmtId="17" fontId="62" fillId="12" borderId="83" xfId="3" applyNumberFormat="1" applyFont="1" applyFill="1" applyBorder="1" applyAlignment="1">
      <alignment horizontal="right"/>
    </xf>
    <xf numFmtId="17" fontId="62" fillId="12" borderId="82" xfId="3" applyNumberFormat="1" applyFont="1" applyFill="1" applyBorder="1" applyAlignment="1"/>
    <xf numFmtId="17" fontId="62" fillId="12" borderId="25" xfId="3" applyNumberFormat="1" applyFont="1" applyFill="1" applyBorder="1" applyAlignment="1"/>
    <xf numFmtId="17" fontId="62" fillId="12" borderId="83" xfId="3" applyNumberFormat="1" applyFont="1" applyFill="1" applyBorder="1" applyAlignment="1"/>
    <xf numFmtId="172" fontId="35" fillId="11" borderId="40" xfId="7" applyNumberFormat="1" applyFont="1" applyFill="1" applyBorder="1" applyAlignment="1">
      <alignment horizontal="center"/>
    </xf>
    <xf numFmtId="17" fontId="40" fillId="0" borderId="25" xfId="3" applyNumberFormat="1" applyFont="1" applyFill="1" applyBorder="1" applyAlignment="1">
      <alignment horizontal="left" vertical="center" wrapText="1"/>
    </xf>
    <xf numFmtId="172" fontId="37" fillId="0" borderId="25" xfId="7" applyNumberFormat="1" applyFont="1" applyFill="1" applyBorder="1" applyAlignment="1">
      <alignment horizontal="center"/>
    </xf>
    <xf numFmtId="172" fontId="35" fillId="0" borderId="25" xfId="7" applyNumberFormat="1" applyFont="1" applyFill="1" applyBorder="1" applyAlignment="1">
      <alignment horizontal="center"/>
    </xf>
    <xf numFmtId="172" fontId="35" fillId="0" borderId="27" xfId="7" applyNumberFormat="1" applyFont="1" applyFill="1" applyBorder="1" applyAlignment="1">
      <alignment horizontal="center"/>
    </xf>
    <xf numFmtId="172" fontId="35" fillId="11" borderId="3" xfId="7" applyNumberFormat="1" applyFont="1" applyFill="1" applyBorder="1" applyAlignment="1">
      <alignment horizontal="left"/>
    </xf>
    <xf numFmtId="172" fontId="35" fillId="11" borderId="34" xfId="7" applyNumberFormat="1" applyFont="1" applyFill="1" applyBorder="1" applyAlignment="1">
      <alignment horizontal="left"/>
    </xf>
    <xf numFmtId="172" fontId="35" fillId="11" borderId="4" xfId="7" applyNumberFormat="1" applyFont="1" applyFill="1" applyBorder="1" applyAlignment="1">
      <alignment horizontal="center"/>
    </xf>
    <xf numFmtId="172" fontId="35" fillId="11" borderId="34" xfId="7" applyNumberFormat="1" applyFont="1" applyFill="1" applyBorder="1" applyAlignment="1">
      <alignment horizontal="center"/>
    </xf>
    <xf numFmtId="172" fontId="35" fillId="11" borderId="42" xfId="7" applyNumberFormat="1" applyFont="1" applyFill="1" applyBorder="1" applyAlignment="1">
      <alignment horizontal="left"/>
    </xf>
    <xf numFmtId="172" fontId="35" fillId="11" borderId="19" xfId="7" applyNumberFormat="1" applyFont="1" applyFill="1" applyBorder="1" applyAlignment="1">
      <alignment horizontal="left"/>
    </xf>
    <xf numFmtId="14" fontId="0" fillId="15" borderId="2" xfId="0" applyNumberFormat="1" applyFill="1" applyBorder="1" applyAlignment="1">
      <alignment horizontal="center"/>
    </xf>
    <xf numFmtId="182" fontId="20" fillId="0" borderId="0" xfId="0" applyNumberFormat="1" applyFont="1" applyFill="1" applyAlignment="1">
      <alignment vertical="center" wrapText="1"/>
    </xf>
    <xf numFmtId="182" fontId="22" fillId="0" borderId="48" xfId="0" applyNumberFormat="1" applyFont="1" applyFill="1" applyBorder="1" applyAlignment="1">
      <alignment vertical="center" wrapText="1"/>
    </xf>
    <xf numFmtId="173" fontId="35" fillId="35" borderId="0" xfId="3" applyNumberFormat="1" applyFont="1" applyFill="1" applyBorder="1" applyAlignment="1">
      <alignment horizontal="right"/>
    </xf>
    <xf numFmtId="17" fontId="62" fillId="12" borderId="27" xfId="3" applyNumberFormat="1" applyFont="1" applyFill="1" applyBorder="1" applyAlignment="1">
      <alignment horizontal="right"/>
    </xf>
    <xf numFmtId="172" fontId="35" fillId="11" borderId="27" xfId="7" applyNumberFormat="1" applyFont="1" applyFill="1" applyBorder="1" applyAlignment="1">
      <alignment horizontal="center"/>
    </xf>
    <xf numFmtId="172" fontId="37" fillId="3" borderId="34" xfId="7" applyNumberFormat="1" applyFont="1" applyFill="1" applyBorder="1" applyAlignment="1">
      <alignment horizontal="center"/>
    </xf>
    <xf numFmtId="172" fontId="37" fillId="3" borderId="30" xfId="7" applyNumberFormat="1" applyFont="1" applyFill="1" applyBorder="1" applyAlignment="1">
      <alignment horizontal="center"/>
    </xf>
    <xf numFmtId="168" fontId="12" fillId="0" borderId="85" xfId="7" applyNumberFormat="1" applyFont="1" applyFill="1" applyBorder="1" applyAlignment="1">
      <alignment horizontal="center" vertical="center"/>
    </xf>
    <xf numFmtId="172" fontId="35" fillId="11" borderId="85" xfId="7" applyNumberFormat="1" applyFont="1" applyFill="1" applyBorder="1" applyAlignment="1">
      <alignment horizontal="center"/>
    </xf>
    <xf numFmtId="172" fontId="37" fillId="3" borderId="85" xfId="7" applyNumberFormat="1" applyFont="1" applyFill="1" applyBorder="1" applyAlignment="1">
      <alignment horizontal="center"/>
    </xf>
    <xf numFmtId="172" fontId="37" fillId="3" borderId="86" xfId="7" applyNumberFormat="1" applyFont="1" applyFill="1" applyBorder="1" applyAlignment="1">
      <alignment horizontal="center"/>
    </xf>
    <xf numFmtId="0" fontId="62" fillId="12" borderId="44" xfId="3" applyFont="1" applyFill="1" applyBorder="1" applyAlignment="1">
      <alignment horizontal="right"/>
    </xf>
    <xf numFmtId="172" fontId="29" fillId="0" borderId="39" xfId="9" applyNumberFormat="1" applyFont="1" applyFill="1" applyBorder="1" applyAlignment="1">
      <alignment horizontal="center" vertical="center"/>
    </xf>
    <xf numFmtId="172" fontId="39" fillId="0" borderId="37" xfId="7" applyNumberFormat="1" applyFont="1" applyFill="1" applyBorder="1" applyAlignment="1">
      <alignment horizontal="center" vertical="center"/>
    </xf>
    <xf numFmtId="172" fontId="35" fillId="11" borderId="84" xfId="7" applyNumberFormat="1" applyFont="1" applyFill="1" applyBorder="1" applyAlignment="1">
      <alignment horizontal="center"/>
    </xf>
    <xf numFmtId="17" fontId="37" fillId="3" borderId="3" xfId="3" applyNumberFormat="1" applyFont="1" applyFill="1" applyBorder="1"/>
    <xf numFmtId="177" fontId="37" fillId="20" borderId="0" xfId="3" applyNumberFormat="1" applyFont="1" applyFill="1" applyBorder="1" applyAlignment="1">
      <alignment horizontal="center"/>
    </xf>
    <xf numFmtId="169" fontId="20" fillId="0" borderId="2" xfId="0" applyNumberFormat="1" applyFont="1" applyFill="1" applyBorder="1" applyAlignment="1">
      <alignment vertical="center" wrapText="1"/>
    </xf>
    <xf numFmtId="172" fontId="37" fillId="0" borderId="24" xfId="7" applyNumberFormat="1" applyFont="1" applyFill="1" applyBorder="1" applyAlignment="1">
      <alignment horizontal="center"/>
    </xf>
    <xf numFmtId="0" fontId="12" fillId="0" borderId="0" xfId="0" applyFont="1" applyFill="1"/>
    <xf numFmtId="0" fontId="0" fillId="0" borderId="0" xfId="0" applyFill="1"/>
    <xf numFmtId="0" fontId="26" fillId="0" borderId="0" xfId="0" applyFont="1" applyFill="1" applyAlignment="1">
      <alignment horizontal="left" vertical="center" wrapText="1"/>
    </xf>
    <xf numFmtId="0" fontId="26" fillId="0" borderId="22" xfId="0" applyFont="1" applyFill="1" applyBorder="1" applyAlignment="1">
      <alignment horizontal="center" vertical="center" wrapText="1"/>
    </xf>
    <xf numFmtId="166" fontId="26" fillId="0" borderId="22" xfId="0" applyNumberFormat="1" applyFont="1" applyFill="1" applyBorder="1" applyAlignment="1">
      <alignment vertical="center" wrapText="1"/>
    </xf>
    <xf numFmtId="0" fontId="22" fillId="0" borderId="22" xfId="0" applyFont="1" applyFill="1" applyBorder="1" applyAlignment="1">
      <alignment horizontal="center" vertical="center" wrapText="1"/>
    </xf>
    <xf numFmtId="14" fontId="26" fillId="0" borderId="63" xfId="0" applyNumberFormat="1" applyFont="1" applyFill="1" applyBorder="1" applyAlignment="1">
      <alignment horizontal="center" vertical="center" wrapText="1"/>
    </xf>
    <xf numFmtId="168" fontId="35" fillId="0" borderId="0" xfId="9" applyFont="1" applyFill="1"/>
    <xf numFmtId="172" fontId="35" fillId="0" borderId="0" xfId="9" applyNumberFormat="1" applyFont="1" applyFill="1"/>
    <xf numFmtId="14" fontId="20" fillId="24" borderId="22" xfId="0" applyNumberFormat="1" applyFont="1" applyFill="1" applyBorder="1" applyAlignment="1">
      <alignment horizontal="center" vertical="center" wrapText="1"/>
    </xf>
    <xf numFmtId="14" fontId="20" fillId="33" borderId="22" xfId="0" applyNumberFormat="1" applyFont="1" applyFill="1" applyBorder="1" applyAlignment="1">
      <alignment horizontal="center" vertical="center" wrapText="1"/>
    </xf>
    <xf numFmtId="14" fontId="20" fillId="26" borderId="22" xfId="0" applyNumberFormat="1" applyFont="1" applyFill="1" applyBorder="1" applyAlignment="1">
      <alignment horizontal="center" vertical="center" wrapText="1"/>
    </xf>
    <xf numFmtId="0" fontId="52" fillId="23" borderId="22" xfId="0" applyFont="1" applyFill="1" applyBorder="1" applyAlignment="1">
      <alignment horizontal="center" vertical="center" wrapText="1"/>
    </xf>
    <xf numFmtId="204" fontId="35" fillId="0" borderId="0" xfId="3" applyNumberFormat="1" applyFont="1" applyFill="1" applyBorder="1" applyAlignment="1">
      <alignment horizontal="right"/>
    </xf>
    <xf numFmtId="187" fontId="33" fillId="0" borderId="7" xfId="7" applyNumberFormat="1" applyFont="1" applyFill="1" applyBorder="1" applyAlignment="1">
      <alignment horizontal="center"/>
    </xf>
    <xf numFmtId="168" fontId="37" fillId="0" borderId="0" xfId="7" applyNumberFormat="1" applyFont="1" applyFill="1" applyBorder="1" applyAlignment="1">
      <alignment horizontal="center"/>
    </xf>
    <xf numFmtId="172" fontId="74" fillId="0" borderId="0" xfId="9" applyNumberFormat="1" applyFont="1" applyFill="1" applyBorder="1"/>
    <xf numFmtId="0" fontId="26" fillId="20" borderId="24" xfId="0" applyFont="1" applyFill="1" applyBorder="1" applyAlignment="1">
      <alignment horizontal="justify" vertical="center" wrapText="1"/>
    </xf>
    <xf numFmtId="172" fontId="37" fillId="0" borderId="0" xfId="9" applyNumberFormat="1" applyFont="1" applyFill="1"/>
    <xf numFmtId="172" fontId="41" fillId="0" borderId="0" xfId="9" applyNumberFormat="1" applyFont="1" applyFill="1"/>
    <xf numFmtId="172" fontId="41" fillId="0" borderId="49" xfId="9" applyNumberFormat="1" applyFont="1" applyFill="1" applyBorder="1"/>
    <xf numFmtId="172" fontId="41" fillId="0" borderId="53" xfId="9" applyNumberFormat="1" applyFont="1" applyFill="1" applyBorder="1"/>
    <xf numFmtId="172" fontId="41" fillId="0" borderId="0" xfId="9" applyNumberFormat="1" applyFont="1" applyFill="1" applyBorder="1"/>
    <xf numFmtId="172" fontId="35" fillId="13" borderId="0" xfId="9" applyNumberFormat="1" applyFont="1" applyFill="1"/>
    <xf numFmtId="172" fontId="35" fillId="0" borderId="0" xfId="9" applyNumberFormat="1" applyFont="1" applyFill="1" applyBorder="1"/>
    <xf numFmtId="1" fontId="63" fillId="23" borderId="80" xfId="3" applyNumberFormat="1" applyFont="1" applyFill="1" applyBorder="1" applyAlignment="1"/>
    <xf numFmtId="1" fontId="63" fillId="23" borderId="79" xfId="3" applyNumberFormat="1" applyFont="1" applyFill="1" applyBorder="1" applyAlignment="1"/>
    <xf numFmtId="172" fontId="33" fillId="0" borderId="56" xfId="7" applyNumberFormat="1" applyFont="1" applyFill="1" applyBorder="1" applyAlignment="1">
      <alignment horizontal="center"/>
    </xf>
    <xf numFmtId="168" fontId="37" fillId="0" borderId="17" xfId="7" applyNumberFormat="1" applyFont="1" applyFill="1" applyBorder="1" applyAlignment="1">
      <alignment horizontal="center"/>
    </xf>
    <xf numFmtId="172" fontId="35" fillId="0" borderId="28" xfId="7" applyNumberFormat="1" applyFont="1" applyFill="1" applyBorder="1" applyAlignment="1">
      <alignment horizontal="center"/>
    </xf>
    <xf numFmtId="1" fontId="63" fillId="31" borderId="0" xfId="3" applyNumberFormat="1" applyFont="1" applyFill="1" applyBorder="1" applyAlignment="1"/>
    <xf numFmtId="185" fontId="41" fillId="0" borderId="0" xfId="3" applyNumberFormat="1" applyFont="1" applyFill="1"/>
    <xf numFmtId="177" fontId="74" fillId="0" borderId="0" xfId="3" applyNumberFormat="1" applyFont="1" applyFill="1" applyBorder="1"/>
    <xf numFmtId="168" fontId="35" fillId="11" borderId="18" xfId="7" applyNumberFormat="1" applyFont="1" applyFill="1" applyBorder="1" applyAlignment="1">
      <alignment horizontal="center"/>
    </xf>
    <xf numFmtId="172" fontId="35" fillId="11" borderId="25" xfId="9" applyNumberFormat="1" applyFont="1" applyFill="1" applyBorder="1" applyAlignment="1">
      <alignment horizontal="center"/>
    </xf>
    <xf numFmtId="1" fontId="37" fillId="0" borderId="0" xfId="3" applyNumberFormat="1" applyFont="1" applyFill="1"/>
    <xf numFmtId="2" fontId="35" fillId="13" borderId="0" xfId="3" applyNumberFormat="1" applyFont="1" applyFill="1" applyBorder="1" applyAlignment="1">
      <alignment horizontal="center"/>
    </xf>
    <xf numFmtId="0" fontId="41" fillId="0" borderId="44" xfId="3" applyNumberFormat="1" applyFont="1" applyFill="1" applyBorder="1" applyAlignment="1">
      <alignment vertical="center"/>
    </xf>
    <xf numFmtId="0" fontId="41" fillId="0" borderId="6" xfId="3" applyNumberFormat="1" applyFont="1" applyFill="1" applyBorder="1" applyAlignment="1">
      <alignment horizontal="center" vertical="center"/>
    </xf>
    <xf numFmtId="14" fontId="26" fillId="25" borderId="22" xfId="0" applyNumberFormat="1" applyFont="1" applyFill="1" applyBorder="1" applyAlignment="1">
      <alignment vertical="center" wrapText="1"/>
    </xf>
    <xf numFmtId="167" fontId="26" fillId="0" borderId="0" xfId="12" applyFont="1" applyFill="1" applyAlignment="1">
      <alignment vertical="center" wrapText="1"/>
    </xf>
    <xf numFmtId="167" fontId="26" fillId="0" borderId="22" xfId="12" applyFont="1" applyFill="1" applyBorder="1" applyAlignment="1">
      <alignment vertical="center" wrapText="1"/>
    </xf>
    <xf numFmtId="206" fontId="33" fillId="0" borderId="7" xfId="7" applyNumberFormat="1" applyFont="1" applyFill="1" applyBorder="1" applyAlignment="1">
      <alignment horizontal="center"/>
    </xf>
    <xf numFmtId="208" fontId="20" fillId="0" borderId="22" xfId="0" applyNumberFormat="1" applyFont="1" applyFill="1" applyBorder="1" applyAlignment="1">
      <alignment vertical="center" wrapText="1"/>
    </xf>
    <xf numFmtId="0" fontId="41" fillId="0" borderId="2" xfId="3" applyFont="1" applyFill="1" applyBorder="1"/>
    <xf numFmtId="189" fontId="33" fillId="0" borderId="2" xfId="7" applyNumberFormat="1" applyFont="1" applyFill="1" applyBorder="1" applyAlignment="1">
      <alignment horizontal="center"/>
    </xf>
    <xf numFmtId="187" fontId="33" fillId="0" borderId="25" xfId="7" applyNumberFormat="1" applyFont="1" applyFill="1" applyBorder="1" applyAlignment="1">
      <alignment horizontal="center"/>
    </xf>
    <xf numFmtId="0" fontId="41" fillId="0" borderId="25" xfId="3" applyFont="1" applyFill="1" applyBorder="1"/>
    <xf numFmtId="17" fontId="41" fillId="0" borderId="34" xfId="3" applyNumberFormat="1" applyFont="1" applyFill="1" applyBorder="1" applyAlignment="1">
      <alignment horizontal="left" vertical="center" wrapText="1"/>
    </xf>
    <xf numFmtId="17" fontId="41" fillId="0" borderId="14" xfId="3" applyNumberFormat="1" applyFont="1" applyFill="1" applyBorder="1" applyAlignment="1">
      <alignment horizontal="left" vertical="center" wrapText="1"/>
    </xf>
    <xf numFmtId="17" fontId="41" fillId="0" borderId="27" xfId="3" applyNumberFormat="1" applyFont="1" applyFill="1" applyBorder="1" applyAlignment="1">
      <alignment horizontal="left" vertical="center" wrapText="1"/>
    </xf>
    <xf numFmtId="172" fontId="33" fillId="0" borderId="3" xfId="7" applyNumberFormat="1" applyFont="1" applyFill="1" applyBorder="1" applyAlignment="1">
      <alignment horizontal="center"/>
    </xf>
    <xf numFmtId="172" fontId="33" fillId="0" borderId="11" xfId="7" applyNumberFormat="1" applyFont="1" applyFill="1" applyBorder="1" applyAlignment="1">
      <alignment horizontal="center"/>
    </xf>
    <xf numFmtId="172" fontId="33" fillId="0" borderId="12" xfId="7" applyNumberFormat="1" applyFont="1" applyFill="1" applyBorder="1" applyAlignment="1">
      <alignment horizontal="center"/>
    </xf>
    <xf numFmtId="2" fontId="35" fillId="0" borderId="0" xfId="3" applyNumberFormat="1" applyFont="1" applyFill="1" applyBorder="1" applyAlignment="1">
      <alignment horizontal="center" vertical="center"/>
    </xf>
    <xf numFmtId="167" fontId="35" fillId="0" borderId="0" xfId="3" applyNumberFormat="1" applyFont="1" applyFill="1"/>
    <xf numFmtId="169" fontId="53" fillId="5" borderId="2" xfId="0" applyNumberFormat="1" applyFont="1" applyFill="1" applyBorder="1" applyAlignment="1">
      <alignment vertical="center" wrapText="1"/>
    </xf>
    <xf numFmtId="182" fontId="53" fillId="5" borderId="0" xfId="0" applyNumberFormat="1" applyFont="1" applyFill="1" applyAlignment="1">
      <alignment vertical="center" wrapText="1"/>
    </xf>
    <xf numFmtId="169" fontId="53" fillId="5" borderId="45" xfId="0" applyNumberFormat="1" applyFont="1" applyFill="1" applyBorder="1" applyAlignment="1">
      <alignment vertical="center" wrapText="1"/>
    </xf>
    <xf numFmtId="172" fontId="41" fillId="0" borderId="29" xfId="3" applyNumberFormat="1" applyFont="1" applyFill="1" applyBorder="1" applyAlignment="1">
      <alignment vertical="center"/>
    </xf>
    <xf numFmtId="172" fontId="41" fillId="0" borderId="48" xfId="3" applyNumberFormat="1" applyFont="1" applyFill="1" applyBorder="1" applyAlignment="1">
      <alignment vertical="center"/>
    </xf>
    <xf numFmtId="172" fontId="41" fillId="0" borderId="45" xfId="3" applyNumberFormat="1" applyFont="1" applyFill="1" applyBorder="1" applyAlignment="1">
      <alignment vertical="center"/>
    </xf>
    <xf numFmtId="209" fontId="41" fillId="0" borderId="25" xfId="3" applyNumberFormat="1" applyFont="1" applyFill="1" applyBorder="1" applyAlignment="1">
      <alignment vertical="center"/>
    </xf>
    <xf numFmtId="209" fontId="41" fillId="0" borderId="24" xfId="3" applyNumberFormat="1" applyFont="1" applyFill="1" applyBorder="1" applyAlignment="1">
      <alignment vertical="center"/>
    </xf>
    <xf numFmtId="209" fontId="41" fillId="0" borderId="18" xfId="3" applyNumberFormat="1" applyFont="1" applyFill="1" applyBorder="1" applyAlignment="1">
      <alignment vertical="center"/>
    </xf>
    <xf numFmtId="172" fontId="33" fillId="0" borderId="5" xfId="7" applyNumberFormat="1" applyFont="1" applyFill="1" applyBorder="1" applyAlignment="1">
      <alignment horizontal="center"/>
    </xf>
    <xf numFmtId="172" fontId="33" fillId="0" borderId="6" xfId="7" applyNumberFormat="1" applyFont="1" applyFill="1" applyBorder="1" applyAlignment="1">
      <alignment horizontal="center"/>
    </xf>
    <xf numFmtId="172" fontId="33" fillId="0" borderId="8" xfId="7" applyNumberFormat="1" applyFont="1" applyFill="1" applyBorder="1" applyAlignment="1">
      <alignment horizontal="center"/>
    </xf>
    <xf numFmtId="0" fontId="57" fillId="0" borderId="2" xfId="11" applyFont="1" applyFill="1" applyBorder="1" applyAlignment="1">
      <alignment horizontal="left" vertical="justify" wrapText="1"/>
    </xf>
    <xf numFmtId="0" fontId="57" fillId="0" borderId="7" xfId="11" applyFont="1" applyFill="1" applyBorder="1" applyAlignment="1">
      <alignment horizontal="left" wrapText="1"/>
    </xf>
    <xf numFmtId="182" fontId="22" fillId="0" borderId="0" xfId="0" applyNumberFormat="1" applyFont="1" applyFill="1" applyBorder="1" applyAlignment="1">
      <alignment vertical="center" wrapText="1"/>
    </xf>
    <xf numFmtId="0" fontId="26" fillId="32" borderId="22" xfId="0" applyFont="1" applyFill="1" applyBorder="1" applyAlignment="1">
      <alignment horizontal="justify" vertical="center" wrapText="1"/>
    </xf>
    <xf numFmtId="0" fontId="26" fillId="32" borderId="24" xfId="0" applyFont="1" applyFill="1" applyBorder="1" applyAlignment="1">
      <alignment horizontal="justify" vertical="center" wrapText="1"/>
    </xf>
    <xf numFmtId="0" fontId="26" fillId="21" borderId="22" xfId="0" applyFont="1" applyFill="1" applyBorder="1" applyAlignment="1">
      <alignment horizontal="justify" vertical="center" wrapText="1"/>
    </xf>
    <xf numFmtId="0" fontId="78" fillId="27" borderId="22" xfId="0" applyFont="1" applyFill="1" applyBorder="1" applyAlignment="1">
      <alignment horizontal="center" vertical="center" wrapText="1"/>
    </xf>
    <xf numFmtId="169" fontId="77" fillId="27" borderId="22" xfId="0" applyNumberFormat="1" applyFont="1" applyFill="1" applyBorder="1" applyAlignment="1">
      <alignment vertical="center" wrapText="1"/>
    </xf>
    <xf numFmtId="172" fontId="41" fillId="0" borderId="25" xfId="3" applyNumberFormat="1" applyFont="1" applyFill="1" applyBorder="1" applyAlignment="1">
      <alignment vertical="center"/>
    </xf>
    <xf numFmtId="208" fontId="41" fillId="0" borderId="0" xfId="3" applyNumberFormat="1" applyFont="1" applyFill="1"/>
    <xf numFmtId="172" fontId="33" fillId="0" borderId="43" xfId="7" applyNumberFormat="1" applyFont="1" applyFill="1" applyBorder="1" applyAlignment="1">
      <alignment horizontal="center"/>
    </xf>
    <xf numFmtId="184" fontId="33" fillId="0" borderId="4" xfId="7" applyNumberFormat="1" applyFont="1" applyFill="1" applyBorder="1" applyAlignment="1">
      <alignment horizontal="center"/>
    </xf>
    <xf numFmtId="184" fontId="29" fillId="0" borderId="4" xfId="7" applyNumberFormat="1" applyFont="1" applyFill="1" applyBorder="1" applyAlignment="1">
      <alignment horizontal="center"/>
    </xf>
    <xf numFmtId="184" fontId="33" fillId="0" borderId="7" xfId="7" applyNumberFormat="1" applyFont="1" applyFill="1" applyBorder="1" applyAlignment="1">
      <alignment horizontal="center"/>
    </xf>
    <xf numFmtId="200" fontId="33" fillId="0" borderId="4" xfId="7" applyNumberFormat="1" applyFont="1" applyFill="1" applyBorder="1" applyAlignment="1">
      <alignment horizontal="center"/>
    </xf>
    <xf numFmtId="172" fontId="33" fillId="0" borderId="19" xfId="7" applyNumberFormat="1" applyFont="1" applyFill="1" applyBorder="1" applyAlignment="1">
      <alignment horizontal="center"/>
    </xf>
    <xf numFmtId="184" fontId="33" fillId="0" borderId="25" xfId="7" applyNumberFormat="1" applyFont="1" applyFill="1" applyBorder="1" applyAlignment="1">
      <alignment horizontal="center"/>
    </xf>
    <xf numFmtId="189" fontId="33" fillId="0" borderId="25" xfId="7" applyNumberFormat="1" applyFont="1" applyFill="1" applyBorder="1" applyAlignment="1">
      <alignment horizontal="center"/>
    </xf>
    <xf numFmtId="17" fontId="31" fillId="0" borderId="2" xfId="3" applyNumberFormat="1" applyFont="1" applyFill="1" applyBorder="1" applyAlignment="1">
      <alignment horizontal="left" vertical="center" wrapText="1"/>
    </xf>
    <xf numFmtId="17" fontId="31" fillId="0" borderId="25" xfId="3" applyNumberFormat="1" applyFont="1" applyFill="1" applyBorder="1" applyAlignment="1">
      <alignment horizontal="left" vertical="center" wrapText="1"/>
    </xf>
    <xf numFmtId="17" fontId="31" fillId="0" borderId="4" xfId="3" applyNumberFormat="1" applyFont="1" applyFill="1" applyBorder="1" applyAlignment="1">
      <alignment horizontal="left" vertical="center" wrapText="1"/>
    </xf>
    <xf numFmtId="189" fontId="33" fillId="0" borderId="4" xfId="7" applyNumberFormat="1" applyFont="1" applyFill="1" applyBorder="1" applyAlignment="1">
      <alignment horizontal="center"/>
    </xf>
    <xf numFmtId="207" fontId="33" fillId="0" borderId="25" xfId="7" applyNumberFormat="1" applyFont="1" applyFill="1" applyBorder="1" applyAlignment="1">
      <alignment horizontal="center"/>
    </xf>
    <xf numFmtId="164" fontId="33" fillId="0" borderId="2" xfId="7" applyNumberFormat="1" applyFont="1" applyFill="1" applyBorder="1" applyAlignment="1">
      <alignment horizontal="center"/>
    </xf>
    <xf numFmtId="182" fontId="22" fillId="0" borderId="45" xfId="0" applyNumberFormat="1" applyFont="1" applyFill="1" applyBorder="1" applyAlignment="1">
      <alignment vertical="center" wrapText="1"/>
    </xf>
    <xf numFmtId="1" fontId="33" fillId="0" borderId="4" xfId="7" applyNumberFormat="1" applyFont="1" applyFill="1" applyBorder="1" applyAlignment="1">
      <alignment horizontal="right"/>
    </xf>
    <xf numFmtId="1" fontId="33" fillId="0" borderId="2" xfId="7" applyNumberFormat="1" applyFont="1" applyFill="1" applyBorder="1" applyAlignment="1">
      <alignment horizontal="right"/>
    </xf>
    <xf numFmtId="1" fontId="33" fillId="0" borderId="25" xfId="7" applyNumberFormat="1" applyFont="1" applyFill="1" applyBorder="1" applyAlignment="1">
      <alignment horizontal="right"/>
    </xf>
    <xf numFmtId="187" fontId="35" fillId="11" borderId="25" xfId="7" applyNumberFormat="1" applyFont="1" applyFill="1" applyBorder="1" applyAlignment="1">
      <alignment horizontal="center"/>
    </xf>
    <xf numFmtId="164" fontId="37" fillId="0" borderId="0" xfId="325" applyFont="1" applyFill="1"/>
    <xf numFmtId="164" fontId="35" fillId="0" borderId="0" xfId="325" applyFont="1" applyFill="1" applyBorder="1"/>
    <xf numFmtId="210" fontId="35" fillId="0" borderId="0" xfId="325" applyNumberFormat="1" applyFont="1" applyFill="1" applyBorder="1"/>
    <xf numFmtId="211" fontId="37" fillId="0" borderId="0" xfId="3" applyNumberFormat="1" applyFont="1" applyFill="1" applyBorder="1"/>
    <xf numFmtId="164" fontId="34" fillId="0" borderId="0" xfId="325" applyFont="1" applyFill="1" applyBorder="1"/>
    <xf numFmtId="168" fontId="37" fillId="0" borderId="0" xfId="9" applyFont="1" applyFill="1" applyBorder="1"/>
    <xf numFmtId="165" fontId="35" fillId="0" borderId="0" xfId="8" applyNumberFormat="1" applyFont="1" applyFill="1" applyAlignment="1">
      <alignment horizontal="right"/>
    </xf>
    <xf numFmtId="172" fontId="33" fillId="0" borderId="2" xfId="325" applyNumberFormat="1" applyFont="1" applyFill="1" applyBorder="1" applyAlignment="1">
      <alignment horizontal="center"/>
    </xf>
    <xf numFmtId="172" fontId="35" fillId="13" borderId="0" xfId="3" applyNumberFormat="1" applyFont="1" applyFill="1" applyBorder="1"/>
    <xf numFmtId="212" fontId="33" fillId="0" borderId="2" xfId="7" applyNumberFormat="1" applyFont="1" applyFill="1" applyBorder="1" applyAlignment="1">
      <alignment horizontal="center"/>
    </xf>
    <xf numFmtId="164" fontId="41" fillId="0" borderId="0" xfId="325" applyFont="1" applyFill="1"/>
    <xf numFmtId="164" fontId="35" fillId="0" borderId="0" xfId="325" applyFont="1" applyFill="1"/>
    <xf numFmtId="205" fontId="35" fillId="0" borderId="2" xfId="7" applyNumberFormat="1" applyFont="1" applyFill="1" applyBorder="1" applyAlignment="1">
      <alignment horizontal="center"/>
    </xf>
    <xf numFmtId="164" fontId="37" fillId="3" borderId="4" xfId="325" applyNumberFormat="1" applyFont="1" applyFill="1" applyBorder="1" applyAlignment="1">
      <alignment horizontal="center"/>
    </xf>
    <xf numFmtId="203" fontId="33" fillId="0" borderId="4" xfId="7" applyNumberFormat="1" applyFont="1" applyFill="1" applyBorder="1" applyAlignment="1">
      <alignment horizontal="right"/>
    </xf>
    <xf numFmtId="200" fontId="33" fillId="0" borderId="25" xfId="7" applyNumberFormat="1" applyFont="1" applyFill="1" applyBorder="1" applyAlignment="1">
      <alignment horizontal="center"/>
    </xf>
    <xf numFmtId="172" fontId="41" fillId="0" borderId="15" xfId="3" applyNumberFormat="1" applyFont="1" applyFill="1" applyBorder="1" applyAlignment="1">
      <alignment horizontal="center" vertical="center"/>
    </xf>
    <xf numFmtId="14" fontId="41" fillId="0" borderId="43" xfId="3" applyNumberFormat="1" applyFont="1" applyFill="1" applyBorder="1" applyAlignment="1">
      <alignment horizontal="center"/>
    </xf>
    <xf numFmtId="14" fontId="41" fillId="0" borderId="42" xfId="3" applyNumberFormat="1" applyFont="1" applyFill="1" applyBorder="1" applyAlignment="1">
      <alignment horizontal="center"/>
    </xf>
    <xf numFmtId="14" fontId="41" fillId="0" borderId="18" xfId="3" applyNumberFormat="1" applyFont="1" applyFill="1" applyBorder="1" applyAlignment="1">
      <alignment horizontal="center"/>
    </xf>
    <xf numFmtId="209" fontId="41" fillId="0" borderId="15" xfId="3" applyNumberFormat="1" applyFont="1" applyFill="1" applyBorder="1" applyAlignment="1">
      <alignment horizontal="center" vertical="center"/>
    </xf>
    <xf numFmtId="0" fontId="41" fillId="0" borderId="38" xfId="3" applyNumberFormat="1" applyFont="1" applyFill="1" applyBorder="1" applyAlignment="1">
      <alignment horizontal="center" vertical="center"/>
    </xf>
    <xf numFmtId="14" fontId="77" fillId="27" borderId="22" xfId="0" applyNumberFormat="1" applyFont="1" applyFill="1" applyBorder="1" applyAlignment="1">
      <alignment vertical="center" wrapText="1"/>
    </xf>
    <xf numFmtId="0" fontId="41" fillId="0" borderId="4" xfId="3" applyFont="1" applyFill="1" applyBorder="1"/>
    <xf numFmtId="1" fontId="41" fillId="0" borderId="4" xfId="3" applyNumberFormat="1" applyFont="1" applyFill="1" applyBorder="1"/>
    <xf numFmtId="169" fontId="20" fillId="37" borderId="22" xfId="0" applyNumberFormat="1" applyFont="1" applyFill="1" applyBorder="1" applyAlignment="1">
      <alignment vertical="center" wrapText="1"/>
    </xf>
    <xf numFmtId="189" fontId="33" fillId="0" borderId="7" xfId="7" applyNumberFormat="1" applyFont="1" applyFill="1" applyBorder="1" applyAlignment="1">
      <alignment horizontal="center"/>
    </xf>
    <xf numFmtId="184" fontId="35" fillId="11" borderId="25" xfId="9" applyNumberFormat="1" applyFont="1" applyFill="1" applyBorder="1" applyAlignment="1">
      <alignment horizontal="center"/>
    </xf>
    <xf numFmtId="184" fontId="35" fillId="11" borderId="25" xfId="7" applyNumberFormat="1" applyFont="1" applyFill="1" applyBorder="1" applyAlignment="1">
      <alignment horizontal="center"/>
    </xf>
    <xf numFmtId="169" fontId="20" fillId="5" borderId="4" xfId="0" applyNumberFormat="1" applyFont="1" applyFill="1" applyBorder="1" applyAlignment="1">
      <alignment vertical="center" wrapText="1"/>
    </xf>
    <xf numFmtId="169" fontId="20" fillId="5" borderId="2" xfId="0" applyNumberFormat="1" applyFont="1" applyFill="1" applyBorder="1" applyAlignment="1">
      <alignment vertical="center" wrapText="1"/>
    </xf>
    <xf numFmtId="182" fontId="53" fillId="5" borderId="22" xfId="0" applyNumberFormat="1" applyFont="1" applyFill="1" applyBorder="1" applyAlignment="1">
      <alignment vertical="center" wrapText="1"/>
    </xf>
    <xf numFmtId="172" fontId="48" fillId="0" borderId="11" xfId="9" applyNumberFormat="1" applyFont="1" applyFill="1" applyBorder="1"/>
    <xf numFmtId="172" fontId="48" fillId="0" borderId="19" xfId="9" applyNumberFormat="1" applyFont="1" applyFill="1" applyBorder="1"/>
    <xf numFmtId="172" fontId="48" fillId="0" borderId="2" xfId="9" applyNumberFormat="1" applyFont="1" applyFill="1" applyBorder="1"/>
    <xf numFmtId="172" fontId="48" fillId="0" borderId="29" xfId="9" applyNumberFormat="1" applyFont="1" applyFill="1" applyBorder="1"/>
    <xf numFmtId="182" fontId="53" fillId="21" borderId="2" xfId="0" applyNumberFormat="1" applyFont="1" applyFill="1" applyBorder="1" applyAlignment="1">
      <alignment vertical="center" wrapText="1"/>
    </xf>
    <xf numFmtId="168" fontId="37" fillId="0" borderId="0" xfId="9" applyFont="1" applyFill="1"/>
    <xf numFmtId="169" fontId="20" fillId="38" borderId="22" xfId="0" applyNumberFormat="1" applyFont="1" applyFill="1" applyBorder="1" applyAlignment="1">
      <alignment vertical="center" wrapText="1"/>
    </xf>
    <xf numFmtId="14" fontId="41" fillId="0" borderId="2" xfId="3" applyNumberFormat="1" applyFont="1" applyFill="1" applyBorder="1" applyAlignment="1">
      <alignment horizontal="center" vertical="center"/>
    </xf>
    <xf numFmtId="14" fontId="41" fillId="0" borderId="6" xfId="3" applyNumberFormat="1" applyFont="1" applyFill="1" applyBorder="1" applyAlignment="1">
      <alignment horizontal="center" vertical="center"/>
    </xf>
    <xf numFmtId="172" fontId="41" fillId="0" borderId="15" xfId="3" applyNumberFormat="1" applyFont="1" applyFill="1" applyBorder="1" applyAlignment="1">
      <alignment horizontal="center" vertical="center"/>
    </xf>
    <xf numFmtId="14" fontId="41" fillId="0" borderId="11" xfId="3" applyNumberFormat="1" applyFont="1" applyFill="1" applyBorder="1" applyAlignment="1">
      <alignment horizontal="center" vertical="center"/>
    </xf>
    <xf numFmtId="0" fontId="41" fillId="0" borderId="38" xfId="3" applyNumberFormat="1" applyFont="1" applyFill="1" applyBorder="1" applyAlignment="1">
      <alignment horizontal="center" vertical="center"/>
    </xf>
    <xf numFmtId="209" fontId="41" fillId="0" borderId="15" xfId="3" applyNumberFormat="1" applyFont="1" applyFill="1" applyBorder="1" applyAlignment="1">
      <alignment horizontal="center" vertical="center"/>
    </xf>
    <xf numFmtId="0" fontId="12" fillId="0" borderId="0" xfId="0" applyFont="1" applyAlignment="1">
      <alignment horizontal="center"/>
    </xf>
    <xf numFmtId="0" fontId="26" fillId="0" borderId="62" xfId="0" applyFont="1" applyFill="1" applyBorder="1" applyAlignment="1">
      <alignment horizontal="justify" vertical="center" wrapText="1"/>
    </xf>
    <xf numFmtId="0" fontId="79" fillId="0" borderId="74" xfId="0" applyFont="1" applyFill="1" applyBorder="1" applyAlignment="1">
      <alignment horizontal="center" vertical="center" wrapText="1"/>
    </xf>
    <xf numFmtId="14" fontId="26" fillId="0" borderId="22" xfId="0" applyNumberFormat="1" applyFont="1" applyFill="1" applyBorder="1" applyAlignment="1">
      <alignment horizontal="center" vertical="center" wrapText="1"/>
    </xf>
    <xf numFmtId="169" fontId="73" fillId="36" borderId="22" xfId="0" applyNumberFormat="1" applyFont="1" applyFill="1" applyBorder="1" applyAlignment="1">
      <alignment vertical="center" wrapText="1"/>
    </xf>
    <xf numFmtId="172" fontId="41" fillId="0" borderId="0" xfId="318" applyNumberFormat="1" applyFont="1" applyFill="1"/>
    <xf numFmtId="172" fontId="33" fillId="0" borderId="25" xfId="318" applyNumberFormat="1" applyFont="1" applyFill="1" applyBorder="1" applyAlignment="1">
      <alignment horizontal="center"/>
    </xf>
    <xf numFmtId="168" fontId="41" fillId="0" borderId="0" xfId="318" applyFont="1" applyFill="1"/>
    <xf numFmtId="187" fontId="41" fillId="0" borderId="0" xfId="318" applyNumberFormat="1" applyFont="1" applyFill="1"/>
    <xf numFmtId="174" fontId="12" fillId="3" borderId="25" xfId="0" applyNumberFormat="1" applyFont="1" applyFill="1" applyBorder="1" applyAlignment="1">
      <alignment horizontal="center"/>
    </xf>
    <xf numFmtId="172" fontId="35" fillId="0" borderId="0" xfId="318" applyNumberFormat="1" applyFont="1" applyFill="1" applyBorder="1"/>
    <xf numFmtId="172" fontId="81" fillId="0" borderId="0" xfId="9" applyNumberFormat="1" applyFont="1" applyFill="1" applyBorder="1"/>
    <xf numFmtId="206" fontId="37" fillId="0" borderId="0" xfId="7" applyNumberFormat="1" applyFont="1" applyFill="1" applyBorder="1" applyAlignment="1">
      <alignment horizontal="center"/>
    </xf>
    <xf numFmtId="182" fontId="76" fillId="5" borderId="22" xfId="0" applyNumberFormat="1" applyFont="1" applyFill="1" applyBorder="1" applyAlignment="1">
      <alignment vertical="center" wrapText="1"/>
    </xf>
    <xf numFmtId="14" fontId="41" fillId="0" borderId="2" xfId="3" applyNumberFormat="1" applyFont="1" applyFill="1" applyBorder="1" applyAlignment="1">
      <alignment horizontal="center" vertical="center"/>
    </xf>
    <xf numFmtId="14" fontId="41" fillId="0" borderId="6" xfId="3" applyNumberFormat="1" applyFont="1" applyFill="1" applyBorder="1" applyAlignment="1">
      <alignment horizontal="center" vertical="center"/>
    </xf>
    <xf numFmtId="172" fontId="41" fillId="0" borderId="15" xfId="3" applyNumberFormat="1" applyFont="1" applyFill="1" applyBorder="1" applyAlignment="1">
      <alignment horizontal="center" vertical="center"/>
    </xf>
    <xf numFmtId="14" fontId="41" fillId="0" borderId="11" xfId="3" applyNumberFormat="1" applyFont="1" applyFill="1" applyBorder="1" applyAlignment="1">
      <alignment horizontal="center" vertical="center"/>
    </xf>
    <xf numFmtId="14" fontId="41" fillId="0" borderId="18" xfId="3" applyNumberFormat="1" applyFont="1" applyFill="1" applyBorder="1" applyAlignment="1">
      <alignment horizontal="center" vertical="center"/>
    </xf>
    <xf numFmtId="14" fontId="41" fillId="0" borderId="43" xfId="3" applyNumberFormat="1" applyFont="1" applyFill="1" applyBorder="1" applyAlignment="1">
      <alignment horizontal="center" vertical="center"/>
    </xf>
    <xf numFmtId="14" fontId="41" fillId="0" borderId="42" xfId="3" applyNumberFormat="1" applyFont="1" applyFill="1" applyBorder="1" applyAlignment="1">
      <alignment horizontal="center" vertical="center"/>
    </xf>
    <xf numFmtId="0" fontId="41" fillId="0" borderId="38" xfId="3" applyNumberFormat="1" applyFont="1" applyFill="1" applyBorder="1" applyAlignment="1">
      <alignment horizontal="center" vertical="center"/>
    </xf>
    <xf numFmtId="209" fontId="41" fillId="0" borderId="15" xfId="3" applyNumberFormat="1" applyFont="1" applyFill="1" applyBorder="1" applyAlignment="1">
      <alignment horizontal="center" vertical="center"/>
    </xf>
    <xf numFmtId="172" fontId="33" fillId="0" borderId="7" xfId="3" applyNumberFormat="1" applyFont="1" applyFill="1" applyBorder="1"/>
    <xf numFmtId="0" fontId="20" fillId="33" borderId="13" xfId="0" applyFont="1" applyFill="1" applyBorder="1" applyAlignment="1">
      <alignment vertical="center" wrapText="1"/>
    </xf>
    <xf numFmtId="0" fontId="20" fillId="33" borderId="65" xfId="0" applyFont="1" applyFill="1" applyBorder="1" applyAlignment="1">
      <alignment vertical="center" wrapText="1"/>
    </xf>
    <xf numFmtId="0" fontId="26" fillId="33" borderId="13" xfId="0" applyFont="1" applyFill="1" applyBorder="1" applyAlignment="1">
      <alignment vertical="center" wrapText="1"/>
    </xf>
    <xf numFmtId="0" fontId="26" fillId="33" borderId="22" xfId="0" applyFont="1" applyFill="1" applyBorder="1" applyAlignment="1">
      <alignment vertical="center" wrapText="1"/>
    </xf>
    <xf numFmtId="9" fontId="37" fillId="0" borderId="0" xfId="10" applyFont="1" applyFill="1"/>
    <xf numFmtId="172" fontId="33" fillId="0" borderId="33" xfId="7" applyNumberFormat="1" applyFont="1" applyFill="1" applyBorder="1" applyAlignment="1">
      <alignment horizontal="center"/>
    </xf>
    <xf numFmtId="213" fontId="33" fillId="0" borderId="4" xfId="7" applyNumberFormat="1" applyFont="1" applyFill="1" applyBorder="1" applyAlignment="1">
      <alignment horizontal="right"/>
    </xf>
    <xf numFmtId="1" fontId="33" fillId="0" borderId="4" xfId="3" applyNumberFormat="1" applyFont="1" applyFill="1" applyBorder="1"/>
    <xf numFmtId="0" fontId="41" fillId="0" borderId="7" xfId="3" applyFont="1" applyFill="1" applyBorder="1"/>
    <xf numFmtId="169" fontId="51" fillId="33" borderId="0" xfId="0" applyNumberFormat="1" applyFont="1" applyFill="1" applyBorder="1" applyAlignment="1">
      <alignment vertical="center" wrapText="1"/>
    </xf>
    <xf numFmtId="1" fontId="29" fillId="0" borderId="4" xfId="7" applyNumberFormat="1" applyFont="1" applyFill="1" applyBorder="1" applyAlignment="1">
      <alignment horizontal="right"/>
    </xf>
    <xf numFmtId="1" fontId="28" fillId="0" borderId="4" xfId="7" applyNumberFormat="1" applyFont="1" applyFill="1" applyBorder="1" applyAlignment="1">
      <alignment horizontal="right"/>
    </xf>
    <xf numFmtId="168" fontId="26" fillId="0" borderId="22" xfId="9" applyFont="1" applyFill="1" applyBorder="1" applyAlignment="1">
      <alignment vertical="center" wrapText="1"/>
    </xf>
    <xf numFmtId="173" fontId="37" fillId="35" borderId="0" xfId="3" applyNumberFormat="1" applyFont="1" applyFill="1" applyBorder="1" applyAlignment="1">
      <alignment horizontal="right"/>
    </xf>
    <xf numFmtId="168" fontId="33" fillId="0" borderId="2" xfId="7" applyNumberFormat="1" applyFont="1" applyFill="1" applyBorder="1" applyAlignment="1">
      <alignment horizontal="center"/>
    </xf>
    <xf numFmtId="165" fontId="35" fillId="0" borderId="0" xfId="3" applyNumberFormat="1" applyFont="1" applyFill="1" applyBorder="1"/>
    <xf numFmtId="189" fontId="33" fillId="0" borderId="35" xfId="325" applyNumberFormat="1" applyFont="1" applyFill="1" applyBorder="1" applyAlignment="1">
      <alignment horizontal="center"/>
    </xf>
    <xf numFmtId="200" fontId="35" fillId="0" borderId="0" xfId="3" applyNumberFormat="1" applyFont="1" applyFill="1" applyBorder="1"/>
    <xf numFmtId="172" fontId="33" fillId="0" borderId="35" xfId="325" applyNumberFormat="1" applyFont="1" applyFill="1" applyBorder="1" applyAlignment="1">
      <alignment horizontal="center"/>
    </xf>
    <xf numFmtId="172" fontId="33" fillId="0" borderId="4" xfId="3" applyNumberFormat="1" applyFont="1" applyFill="1" applyBorder="1"/>
    <xf numFmtId="205" fontId="33" fillId="0" borderId="4" xfId="7" applyNumberFormat="1" applyFont="1" applyFill="1" applyBorder="1" applyAlignment="1">
      <alignment horizontal="center"/>
    </xf>
    <xf numFmtId="185" fontId="41" fillId="0" borderId="25" xfId="3" applyNumberFormat="1" applyFont="1" applyFill="1" applyBorder="1" applyAlignment="1">
      <alignment vertical="center"/>
    </xf>
    <xf numFmtId="164" fontId="33" fillId="0" borderId="35" xfId="325" applyNumberFormat="1" applyFont="1" applyFill="1" applyBorder="1" applyAlignment="1">
      <alignment horizontal="center"/>
    </xf>
    <xf numFmtId="164" fontId="33" fillId="0" borderId="4" xfId="325" applyNumberFormat="1" applyFont="1" applyFill="1" applyBorder="1" applyAlignment="1">
      <alignment horizontal="center"/>
    </xf>
    <xf numFmtId="1" fontId="33" fillId="0" borderId="0" xfId="3" applyNumberFormat="1" applyFont="1" applyFill="1"/>
    <xf numFmtId="165" fontId="33" fillId="0" borderId="2" xfId="7" applyNumberFormat="1" applyFont="1" applyFill="1" applyBorder="1" applyAlignment="1">
      <alignment horizontal="center"/>
    </xf>
    <xf numFmtId="172" fontId="33" fillId="0" borderId="69" xfId="7" applyNumberFormat="1" applyFont="1" applyFill="1" applyBorder="1" applyAlignment="1">
      <alignment horizontal="center"/>
    </xf>
    <xf numFmtId="215" fontId="37" fillId="3" borderId="18" xfId="325" applyNumberFormat="1" applyFont="1" applyFill="1" applyBorder="1" applyAlignment="1">
      <alignment horizontal="center"/>
    </xf>
    <xf numFmtId="172" fontId="32" fillId="0" borderId="5" xfId="7" applyNumberFormat="1" applyFont="1" applyFill="1" applyBorder="1" applyAlignment="1">
      <alignment horizontal="center"/>
    </xf>
    <xf numFmtId="172" fontId="32" fillId="0" borderId="6" xfId="7" applyNumberFormat="1" applyFont="1" applyFill="1" applyBorder="1" applyAlignment="1">
      <alignment horizontal="center"/>
    </xf>
    <xf numFmtId="172" fontId="32" fillId="0" borderId="33" xfId="7" applyNumberFormat="1" applyFont="1" applyFill="1" applyBorder="1" applyAlignment="1">
      <alignment horizontal="center"/>
    </xf>
    <xf numFmtId="164" fontId="33" fillId="0" borderId="5" xfId="325" applyNumberFormat="1" applyFont="1" applyFill="1" applyBorder="1" applyAlignment="1">
      <alignment horizontal="center"/>
    </xf>
    <xf numFmtId="164" fontId="33" fillId="0" borderId="6" xfId="325" applyNumberFormat="1" applyFont="1" applyFill="1" applyBorder="1" applyAlignment="1">
      <alignment horizontal="center"/>
    </xf>
    <xf numFmtId="164" fontId="43" fillId="0" borderId="33" xfId="325" applyNumberFormat="1" applyFont="1" applyFill="1" applyBorder="1" applyAlignment="1">
      <alignment horizontal="center"/>
    </xf>
    <xf numFmtId="164" fontId="33" fillId="0" borderId="6" xfId="7" applyNumberFormat="1" applyFont="1" applyFill="1" applyBorder="1" applyAlignment="1">
      <alignment horizontal="center"/>
    </xf>
    <xf numFmtId="0" fontId="26" fillId="0" borderId="13" xfId="0" applyFont="1" applyFill="1" applyBorder="1" applyAlignment="1">
      <alignment horizontal="justify" vertical="center" wrapText="1"/>
    </xf>
    <xf numFmtId="169" fontId="26" fillId="37" borderId="22" xfId="0" applyNumberFormat="1" applyFont="1" applyFill="1" applyBorder="1" applyAlignment="1">
      <alignment vertical="center" wrapText="1"/>
    </xf>
    <xf numFmtId="182" fontId="26" fillId="37" borderId="22" xfId="0" applyNumberFormat="1" applyFont="1" applyFill="1" applyBorder="1" applyAlignment="1">
      <alignment vertical="center" wrapText="1"/>
    </xf>
    <xf numFmtId="169" fontId="26" fillId="37" borderId="24" xfId="0" applyNumberFormat="1" applyFont="1" applyFill="1" applyBorder="1" applyAlignment="1">
      <alignment vertical="center" wrapText="1"/>
    </xf>
    <xf numFmtId="169" fontId="26" fillId="33" borderId="22" xfId="0" applyNumberFormat="1" applyFont="1" applyFill="1" applyBorder="1" applyAlignment="1">
      <alignment vertical="center" wrapText="1"/>
    </xf>
    <xf numFmtId="0" fontId="26" fillId="37" borderId="22" xfId="0" applyFont="1" applyFill="1" applyBorder="1" applyAlignment="1">
      <alignment horizontal="justify" vertical="center" wrapText="1"/>
    </xf>
    <xf numFmtId="173" fontId="72" fillId="0" borderId="0" xfId="3" applyNumberFormat="1" applyFont="1" applyFill="1" applyBorder="1"/>
    <xf numFmtId="0" fontId="72" fillId="0" borderId="0" xfId="3" applyFont="1" applyFill="1" applyBorder="1"/>
    <xf numFmtId="172" fontId="83" fillId="0" borderId="25" xfId="7" applyNumberFormat="1" applyFont="1" applyFill="1" applyBorder="1" applyAlignment="1">
      <alignment horizontal="center"/>
    </xf>
    <xf numFmtId="172" fontId="43" fillId="0" borderId="5" xfId="7" applyNumberFormat="1" applyFont="1" applyFill="1" applyBorder="1" applyAlignment="1">
      <alignment horizontal="center"/>
    </xf>
    <xf numFmtId="172" fontId="43" fillId="0" borderId="6" xfId="7" applyNumberFormat="1" applyFont="1" applyFill="1" applyBorder="1" applyAlignment="1">
      <alignment horizontal="center"/>
    </xf>
    <xf numFmtId="172" fontId="43" fillId="0" borderId="8" xfId="7" applyNumberFormat="1" applyFont="1" applyFill="1" applyBorder="1" applyAlignment="1">
      <alignment horizontal="center"/>
    </xf>
    <xf numFmtId="172" fontId="40" fillId="0" borderId="5" xfId="7" applyNumberFormat="1" applyFont="1" applyFill="1" applyBorder="1" applyAlignment="1">
      <alignment horizontal="center"/>
    </xf>
    <xf numFmtId="172" fontId="40" fillId="0" borderId="6" xfId="7" applyNumberFormat="1" applyFont="1" applyFill="1" applyBorder="1" applyAlignment="1">
      <alignment horizontal="center"/>
    </xf>
    <xf numFmtId="172" fontId="40" fillId="0" borderId="8" xfId="7" applyNumberFormat="1" applyFont="1" applyFill="1" applyBorder="1" applyAlignment="1">
      <alignment horizontal="center"/>
    </xf>
    <xf numFmtId="172" fontId="72" fillId="0" borderId="0" xfId="3" applyNumberFormat="1" applyFont="1" applyFill="1" applyBorder="1"/>
    <xf numFmtId="0" fontId="84" fillId="12" borderId="35" xfId="3" applyFont="1" applyFill="1" applyBorder="1" applyAlignment="1">
      <alignment horizontal="center" vertical="center"/>
    </xf>
    <xf numFmtId="172" fontId="35" fillId="24" borderId="0" xfId="9" applyNumberFormat="1" applyFont="1" applyFill="1" applyBorder="1"/>
    <xf numFmtId="169" fontId="20" fillId="33" borderId="69" xfId="0" applyNumberFormat="1" applyFont="1" applyFill="1" applyBorder="1" applyAlignment="1">
      <alignment vertical="center" wrapText="1"/>
    </xf>
    <xf numFmtId="169" fontId="20" fillId="29" borderId="22" xfId="0" applyNumberFormat="1" applyFont="1" applyFill="1" applyBorder="1" applyAlignment="1">
      <alignment vertical="center" wrapText="1"/>
    </xf>
    <xf numFmtId="169" fontId="20" fillId="33" borderId="22" xfId="0" applyNumberFormat="1" applyFont="1" applyFill="1" applyBorder="1" applyAlignment="1">
      <alignment vertical="center" wrapText="1"/>
    </xf>
    <xf numFmtId="182" fontId="20" fillId="37" borderId="22" xfId="0" applyNumberFormat="1" applyFont="1" applyFill="1" applyBorder="1" applyAlignment="1">
      <alignment vertical="center" wrapText="1"/>
    </xf>
    <xf numFmtId="169" fontId="26" fillId="33" borderId="74" xfId="0" applyNumberFormat="1" applyFont="1" applyFill="1" applyBorder="1" applyAlignment="1">
      <alignment vertical="center" wrapText="1"/>
    </xf>
    <xf numFmtId="182" fontId="20" fillId="33" borderId="22" xfId="0" applyNumberFormat="1" applyFont="1" applyFill="1" applyBorder="1" applyAlignment="1">
      <alignment vertical="center" wrapText="1"/>
    </xf>
    <xf numFmtId="164" fontId="35" fillId="0" borderId="0" xfId="325" applyNumberFormat="1" applyFont="1" applyFill="1" applyBorder="1"/>
    <xf numFmtId="172" fontId="41" fillId="41" borderId="25" xfId="3" applyNumberFormat="1" applyFont="1" applyFill="1" applyBorder="1" applyAlignment="1">
      <alignment vertical="center"/>
    </xf>
    <xf numFmtId="172" fontId="41" fillId="41" borderId="24" xfId="3" applyNumberFormat="1" applyFont="1" applyFill="1" applyBorder="1" applyAlignment="1">
      <alignment vertical="center"/>
    </xf>
    <xf numFmtId="172" fontId="41" fillId="41" borderId="18" xfId="3" applyNumberFormat="1" applyFont="1" applyFill="1" applyBorder="1" applyAlignment="1">
      <alignment vertical="center"/>
    </xf>
    <xf numFmtId="168" fontId="41" fillId="41" borderId="25" xfId="3" applyNumberFormat="1" applyFont="1" applyFill="1" applyBorder="1" applyAlignment="1">
      <alignment vertical="center"/>
    </xf>
    <xf numFmtId="168" fontId="41" fillId="41" borderId="24" xfId="3" applyNumberFormat="1" applyFont="1" applyFill="1" applyBorder="1" applyAlignment="1">
      <alignment vertical="center"/>
    </xf>
    <xf numFmtId="168" fontId="41" fillId="41" borderId="18" xfId="3" applyNumberFormat="1" applyFont="1" applyFill="1" applyBorder="1" applyAlignment="1">
      <alignment vertical="center"/>
    </xf>
    <xf numFmtId="172" fontId="35" fillId="41" borderId="0" xfId="3" applyNumberFormat="1" applyFont="1" applyFill="1" applyBorder="1"/>
    <xf numFmtId="17" fontId="40" fillId="41" borderId="0" xfId="3" applyNumberFormat="1" applyFont="1" applyFill="1" applyBorder="1" applyAlignment="1">
      <alignment horizontal="left" vertical="center" wrapText="1"/>
    </xf>
    <xf numFmtId="172" fontId="41" fillId="41" borderId="4" xfId="3" applyNumberFormat="1" applyFont="1" applyFill="1" applyBorder="1" applyAlignment="1">
      <alignment vertical="center"/>
    </xf>
    <xf numFmtId="172" fontId="41" fillId="41" borderId="2" xfId="3" applyNumberFormat="1" applyFont="1" applyFill="1" applyBorder="1" applyAlignment="1">
      <alignment vertical="center"/>
    </xf>
    <xf numFmtId="172" fontId="41" fillId="41" borderId="7" xfId="3" applyNumberFormat="1" applyFont="1" applyFill="1" applyBorder="1" applyAlignment="1">
      <alignment vertical="center"/>
    </xf>
    <xf numFmtId="169" fontId="35" fillId="41" borderId="0" xfId="3" applyNumberFormat="1" applyFont="1" applyFill="1" applyBorder="1"/>
    <xf numFmtId="168" fontId="35" fillId="41" borderId="0" xfId="3" applyNumberFormat="1" applyFont="1" applyFill="1" applyBorder="1"/>
    <xf numFmtId="168" fontId="35" fillId="41" borderId="0" xfId="9" applyFont="1" applyFill="1" applyBorder="1"/>
    <xf numFmtId="173" fontId="37" fillId="41" borderId="0" xfId="3" applyNumberFormat="1" applyFont="1" applyFill="1" applyBorder="1"/>
    <xf numFmtId="173" fontId="37" fillId="41" borderId="0" xfId="3" applyNumberFormat="1" applyFont="1" applyFill="1"/>
    <xf numFmtId="172" fontId="32" fillId="0" borderId="2" xfId="7" applyNumberFormat="1" applyFont="1" applyFill="1" applyBorder="1" applyAlignment="1">
      <alignment horizontal="center"/>
    </xf>
    <xf numFmtId="187" fontId="32" fillId="0" borderId="4" xfId="7" applyNumberFormat="1" applyFont="1" applyFill="1" applyBorder="1" applyAlignment="1">
      <alignment horizontal="center"/>
    </xf>
    <xf numFmtId="172" fontId="85" fillId="0" borderId="0" xfId="3" applyNumberFormat="1" applyFont="1" applyFill="1"/>
    <xf numFmtId="0" fontId="31" fillId="0" borderId="0" xfId="3" applyFont="1" applyFill="1"/>
    <xf numFmtId="203" fontId="31" fillId="0" borderId="0" xfId="3" applyNumberFormat="1" applyFont="1" applyFill="1"/>
    <xf numFmtId="172" fontId="31" fillId="0" borderId="0" xfId="3" applyNumberFormat="1" applyFont="1" applyFill="1"/>
    <xf numFmtId="186" fontId="32" fillId="0" borderId="0" xfId="3" applyNumberFormat="1" applyFont="1" applyFill="1"/>
    <xf numFmtId="189" fontId="31" fillId="0" borderId="0" xfId="3" applyNumberFormat="1" applyFont="1" applyFill="1"/>
    <xf numFmtId="168" fontId="31" fillId="0" borderId="0" xfId="9" applyFont="1" applyFill="1"/>
    <xf numFmtId="172" fontId="32" fillId="0" borderId="0" xfId="3" applyNumberFormat="1" applyFont="1" applyFill="1"/>
    <xf numFmtId="187" fontId="31" fillId="0" borderId="0" xfId="3" applyNumberFormat="1" applyFont="1" applyFill="1"/>
    <xf numFmtId="206" fontId="31" fillId="0" borderId="0" xfId="3" applyNumberFormat="1" applyFont="1" applyFill="1"/>
    <xf numFmtId="165" fontId="32" fillId="0" borderId="0" xfId="3" applyNumberFormat="1" applyFont="1" applyFill="1"/>
    <xf numFmtId="165" fontId="31" fillId="0" borderId="0" xfId="3" applyNumberFormat="1" applyFont="1" applyFill="1"/>
    <xf numFmtId="213" fontId="31" fillId="0" borderId="0" xfId="3" applyNumberFormat="1" applyFont="1" applyFill="1"/>
    <xf numFmtId="2" fontId="31" fillId="0" borderId="0" xfId="3" applyNumberFormat="1" applyFont="1" applyFill="1"/>
    <xf numFmtId="14" fontId="31" fillId="0" borderId="0" xfId="3" applyNumberFormat="1" applyFont="1" applyFill="1"/>
    <xf numFmtId="172" fontId="31" fillId="0" borderId="0" xfId="9" applyNumberFormat="1" applyFont="1" applyFill="1"/>
    <xf numFmtId="194" fontId="37" fillId="0" borderId="14" xfId="7" applyNumberFormat="1" applyFont="1" applyFill="1" applyBorder="1" applyAlignment="1">
      <alignment horizontal="center"/>
    </xf>
    <xf numFmtId="172" fontId="33" fillId="0" borderId="35" xfId="7" applyNumberFormat="1" applyFont="1" applyFill="1" applyBorder="1" applyAlignment="1">
      <alignment horizontal="center"/>
    </xf>
    <xf numFmtId="172" fontId="84" fillId="0" borderId="0" xfId="7" applyNumberFormat="1" applyFont="1" applyFill="1" applyBorder="1" applyAlignment="1">
      <alignment horizontal="center"/>
    </xf>
    <xf numFmtId="14" fontId="26" fillId="37" borderId="22" xfId="0" applyNumberFormat="1" applyFont="1" applyFill="1" applyBorder="1" applyAlignment="1">
      <alignment vertical="center" wrapText="1"/>
    </xf>
    <xf numFmtId="14" fontId="20" fillId="33" borderId="22" xfId="0" applyNumberFormat="1" applyFont="1" applyFill="1" applyBorder="1" applyAlignment="1">
      <alignment vertical="center" wrapText="1"/>
    </xf>
    <xf numFmtId="14" fontId="20" fillId="37" borderId="22" xfId="0" applyNumberFormat="1" applyFont="1" applyFill="1" applyBorder="1" applyAlignment="1">
      <alignment vertical="center" wrapText="1"/>
    </xf>
    <xf numFmtId="0" fontId="41" fillId="0" borderId="18" xfId="3" applyFont="1" applyFill="1" applyBorder="1"/>
    <xf numFmtId="172" fontId="40" fillId="0" borderId="43" xfId="7" applyNumberFormat="1" applyFont="1" applyFill="1" applyBorder="1" applyAlignment="1">
      <alignment horizontal="center"/>
    </xf>
    <xf numFmtId="164" fontId="33" fillId="0" borderId="7" xfId="325" applyNumberFormat="1" applyFont="1" applyFill="1" applyBorder="1" applyAlignment="1">
      <alignment horizontal="center"/>
    </xf>
    <xf numFmtId="172" fontId="43" fillId="0" borderId="0" xfId="7" applyNumberFormat="1" applyFont="1" applyFill="1" applyBorder="1" applyAlignment="1">
      <alignment horizontal="center"/>
    </xf>
    <xf numFmtId="187" fontId="43" fillId="0" borderId="0" xfId="7" applyNumberFormat="1" applyFont="1" applyFill="1" applyBorder="1" applyAlignment="1">
      <alignment horizontal="center"/>
    </xf>
    <xf numFmtId="172" fontId="40" fillId="0" borderId="33" xfId="7" applyNumberFormat="1" applyFont="1" applyFill="1" applyBorder="1" applyAlignment="1">
      <alignment horizontal="center"/>
    </xf>
    <xf numFmtId="165" fontId="33" fillId="0" borderId="7" xfId="7" applyNumberFormat="1" applyFont="1" applyFill="1" applyBorder="1" applyAlignment="1">
      <alignment horizontal="center"/>
    </xf>
    <xf numFmtId="169" fontId="20" fillId="31" borderId="69" xfId="0" applyNumberFormat="1" applyFont="1" applyFill="1" applyBorder="1" applyAlignment="1">
      <alignment vertical="center" wrapText="1"/>
    </xf>
    <xf numFmtId="206" fontId="33" fillId="0" borderId="69" xfId="7" applyNumberFormat="1" applyFont="1" applyFill="1" applyBorder="1" applyAlignment="1">
      <alignment horizontal="center"/>
    </xf>
    <xf numFmtId="206" fontId="33" fillId="0" borderId="25" xfId="7" applyNumberFormat="1" applyFont="1" applyFill="1" applyBorder="1" applyAlignment="1">
      <alignment horizontal="center"/>
    </xf>
    <xf numFmtId="172" fontId="33" fillId="0" borderId="27" xfId="7" applyNumberFormat="1" applyFont="1" applyFill="1" applyBorder="1" applyAlignment="1">
      <alignment horizontal="center"/>
    </xf>
    <xf numFmtId="172" fontId="33" fillId="0" borderId="88" xfId="7" applyNumberFormat="1" applyFont="1" applyFill="1" applyBorder="1" applyAlignment="1">
      <alignment horizontal="center"/>
    </xf>
    <xf numFmtId="172" fontId="33" fillId="0" borderId="74" xfId="7" applyNumberFormat="1" applyFont="1" applyFill="1" applyBorder="1" applyAlignment="1">
      <alignment horizontal="center"/>
    </xf>
    <xf numFmtId="172" fontId="33" fillId="0" borderId="26" xfId="7" applyNumberFormat="1" applyFont="1" applyFill="1" applyBorder="1" applyAlignment="1">
      <alignment horizontal="center"/>
    </xf>
    <xf numFmtId="172" fontId="33" fillId="0" borderId="15" xfId="7" applyNumberFormat="1" applyFont="1" applyFill="1" applyBorder="1" applyAlignment="1">
      <alignment horizontal="center"/>
    </xf>
    <xf numFmtId="172" fontId="33" fillId="0" borderId="29" xfId="7" applyNumberFormat="1" applyFont="1" applyFill="1" applyBorder="1" applyAlignment="1">
      <alignment horizontal="center"/>
    </xf>
    <xf numFmtId="17" fontId="41" fillId="0" borderId="5" xfId="3" applyNumberFormat="1" applyFont="1" applyFill="1" applyBorder="1" applyAlignment="1">
      <alignment horizontal="left" vertical="center" wrapText="1"/>
    </xf>
    <xf numFmtId="17" fontId="41" fillId="0" borderId="6" xfId="3" applyNumberFormat="1" applyFont="1" applyFill="1" applyBorder="1" applyAlignment="1">
      <alignment horizontal="left" vertical="center" wrapText="1"/>
    </xf>
    <xf numFmtId="17" fontId="41" fillId="0" borderId="8" xfId="3" applyNumberFormat="1" applyFont="1" applyFill="1" applyBorder="1" applyAlignment="1">
      <alignment horizontal="left" vertical="center" wrapText="1"/>
    </xf>
    <xf numFmtId="169" fontId="26" fillId="23" borderId="22" xfId="0" applyNumberFormat="1" applyFont="1" applyFill="1" applyBorder="1" applyAlignment="1">
      <alignment vertical="center" wrapText="1"/>
    </xf>
    <xf numFmtId="0" fontId="26" fillId="23" borderId="24" xfId="0" applyFont="1" applyFill="1" applyBorder="1" applyAlignment="1">
      <alignment horizontal="justify" vertical="center" wrapText="1"/>
    </xf>
    <xf numFmtId="169" fontId="26" fillId="23" borderId="24" xfId="0" applyNumberFormat="1" applyFont="1" applyFill="1" applyBorder="1" applyAlignment="1">
      <alignment vertical="center" wrapText="1"/>
    </xf>
    <xf numFmtId="0" fontId="22" fillId="23" borderId="22" xfId="0" applyFont="1" applyFill="1" applyBorder="1" applyAlignment="1">
      <alignment horizontal="center" vertical="center" wrapText="1"/>
    </xf>
    <xf numFmtId="182" fontId="20" fillId="23" borderId="22" xfId="0" applyNumberFormat="1" applyFont="1" applyFill="1" applyBorder="1" applyAlignment="1">
      <alignment vertical="center" wrapText="1"/>
    </xf>
    <xf numFmtId="182" fontId="20" fillId="23" borderId="35" xfId="0" applyNumberFormat="1" applyFont="1" applyFill="1" applyBorder="1" applyAlignment="1">
      <alignment vertical="center" wrapText="1"/>
    </xf>
    <xf numFmtId="172" fontId="11" fillId="0" borderId="0" xfId="3" applyNumberFormat="1" applyFont="1" applyFill="1"/>
    <xf numFmtId="168" fontId="41" fillId="0" borderId="0" xfId="3" applyNumberFormat="1" applyFont="1" applyFill="1" applyBorder="1"/>
    <xf numFmtId="0" fontId="26" fillId="21" borderId="2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13" borderId="25" xfId="0" applyFont="1" applyFill="1" applyBorder="1" applyAlignment="1">
      <alignment horizontal="center" vertical="center" wrapText="1"/>
    </xf>
    <xf numFmtId="208" fontId="26" fillId="17" borderId="22" xfId="0" applyNumberFormat="1" applyFont="1" applyFill="1" applyBorder="1" applyAlignment="1">
      <alignment horizontal="center" vertical="center" wrapText="1"/>
    </xf>
    <xf numFmtId="14" fontId="26" fillId="0" borderId="24" xfId="0" applyNumberFormat="1" applyFont="1" applyFill="1" applyBorder="1" applyAlignment="1">
      <alignment horizontal="center" vertical="center" wrapText="1"/>
    </xf>
    <xf numFmtId="14" fontId="26" fillId="0" borderId="69" xfId="0" applyNumberFormat="1" applyFont="1" applyFill="1" applyBorder="1" applyAlignment="1">
      <alignment horizontal="center" vertical="center" wrapText="1"/>
    </xf>
    <xf numFmtId="14" fontId="26" fillId="0" borderId="69" xfId="0" applyNumberFormat="1" applyFont="1" applyFill="1" applyBorder="1" applyAlignment="1">
      <alignment horizontal="center" vertical="center" wrapText="1"/>
    </xf>
    <xf numFmtId="14" fontId="26" fillId="37" borderId="22" xfId="0" applyNumberFormat="1" applyFont="1" applyFill="1" applyBorder="1" applyAlignment="1">
      <alignment horizontal="center" vertical="center" wrapText="1"/>
    </xf>
    <xf numFmtId="14" fontId="26" fillId="0" borderId="64" xfId="0" applyNumberFormat="1" applyFont="1" applyFill="1" applyBorder="1" applyAlignment="1">
      <alignment horizontal="center" vertical="center" wrapText="1"/>
    </xf>
    <xf numFmtId="14" fontId="26" fillId="37" borderId="24" xfId="0" applyNumberFormat="1" applyFont="1" applyFill="1" applyBorder="1" applyAlignment="1">
      <alignment horizontal="center" vertical="center" wrapText="1"/>
    </xf>
    <xf numFmtId="14" fontId="26" fillId="0" borderId="66" xfId="0" applyNumberFormat="1"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6" fillId="30" borderId="22" xfId="0" applyFont="1" applyFill="1" applyBorder="1" applyAlignment="1">
      <alignment horizontal="center" vertical="center" wrapText="1"/>
    </xf>
    <xf numFmtId="208" fontId="26" fillId="0" borderId="22" xfId="0" applyNumberFormat="1" applyFont="1" applyFill="1" applyBorder="1" applyAlignment="1">
      <alignment horizontal="center" vertical="center" wrapText="1"/>
    </xf>
    <xf numFmtId="0" fontId="26" fillId="0" borderId="62" xfId="0" applyFont="1" applyFill="1" applyBorder="1" applyAlignment="1">
      <alignment horizontal="center" vertical="center" wrapText="1"/>
    </xf>
    <xf numFmtId="169" fontId="26" fillId="0" borderId="22" xfId="0" applyNumberFormat="1" applyFont="1" applyFill="1" applyBorder="1" applyAlignment="1">
      <alignment horizontal="center" vertical="center" wrapText="1"/>
    </xf>
    <xf numFmtId="208" fontId="26" fillId="0" borderId="24" xfId="0" applyNumberFormat="1"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65" xfId="0" applyFont="1" applyFill="1" applyBorder="1" applyAlignment="1">
      <alignment horizontal="center" vertical="center" wrapText="1"/>
    </xf>
    <xf numFmtId="166" fontId="26" fillId="0" borderId="22" xfId="0" applyNumberFormat="1" applyFont="1" applyFill="1" applyBorder="1" applyAlignment="1">
      <alignment horizontal="center" vertical="center" wrapText="1"/>
    </xf>
    <xf numFmtId="14" fontId="20" fillId="0" borderId="63" xfId="0" applyNumberFormat="1" applyFont="1" applyFill="1" applyBorder="1" applyAlignment="1">
      <alignment horizontal="center" vertical="center" wrapText="1"/>
    </xf>
    <xf numFmtId="169" fontId="20" fillId="0" borderId="22" xfId="0" applyNumberFormat="1" applyFont="1" applyFill="1" applyBorder="1" applyAlignment="1">
      <alignment horizontal="center" vertical="center" wrapText="1"/>
    </xf>
    <xf numFmtId="0" fontId="20" fillId="0" borderId="23" xfId="0" applyFont="1" applyFill="1" applyBorder="1" applyAlignment="1">
      <alignment horizontal="center" vertical="center" wrapText="1"/>
    </xf>
    <xf numFmtId="14" fontId="26" fillId="0" borderId="73" xfId="0" applyNumberFormat="1"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0" fontId="26" fillId="0" borderId="4" xfId="0" applyFont="1" applyFill="1" applyBorder="1" applyAlignment="1">
      <alignment horizontal="center" vertical="center"/>
    </xf>
    <xf numFmtId="14" fontId="20" fillId="22" borderId="63" xfId="0" applyNumberFormat="1" applyFont="1" applyFill="1" applyBorder="1" applyAlignment="1">
      <alignment horizontal="center" vertical="center" wrapText="1"/>
    </xf>
    <xf numFmtId="14" fontId="20" fillId="22" borderId="22" xfId="0" applyNumberFormat="1" applyFont="1" applyFill="1" applyBorder="1" applyAlignment="1">
      <alignment horizontal="center" vertical="center" wrapText="1"/>
    </xf>
    <xf numFmtId="0" fontId="20" fillId="22" borderId="22" xfId="0" applyFont="1" applyFill="1" applyBorder="1" applyAlignment="1">
      <alignment horizontal="center" vertical="center" wrapText="1"/>
    </xf>
    <xf numFmtId="14" fontId="26" fillId="22" borderId="22" xfId="0" applyNumberFormat="1" applyFont="1" applyFill="1" applyBorder="1" applyAlignment="1">
      <alignment horizontal="center" vertical="center" wrapText="1"/>
    </xf>
    <xf numFmtId="0" fontId="20" fillId="22" borderId="23" xfId="0" applyFont="1" applyFill="1" applyBorder="1" applyAlignment="1">
      <alignment horizontal="center" vertical="center" wrapText="1"/>
    </xf>
    <xf numFmtId="14" fontId="20" fillId="23" borderId="63" xfId="0" applyNumberFormat="1" applyFont="1" applyFill="1" applyBorder="1" applyAlignment="1">
      <alignment horizontal="center" vertical="center" wrapText="1"/>
    </xf>
    <xf numFmtId="14" fontId="20" fillId="23" borderId="22" xfId="0" applyNumberFormat="1" applyFont="1" applyFill="1" applyBorder="1" applyAlignment="1">
      <alignment horizontal="center" vertical="center" wrapText="1"/>
    </xf>
    <xf numFmtId="0" fontId="20" fillId="23" borderId="22" xfId="0" applyFont="1" applyFill="1" applyBorder="1" applyAlignment="1">
      <alignment horizontal="center" vertical="center" wrapText="1"/>
    </xf>
    <xf numFmtId="14" fontId="26" fillId="23" borderId="22" xfId="0" applyNumberFormat="1" applyFont="1" applyFill="1" applyBorder="1" applyAlignment="1">
      <alignment horizontal="center" vertical="center" wrapText="1"/>
    </xf>
    <xf numFmtId="0" fontId="20" fillId="23" borderId="23" xfId="0" applyFont="1" applyFill="1" applyBorder="1" applyAlignment="1">
      <alignment horizontal="center" vertical="center" wrapText="1"/>
    </xf>
    <xf numFmtId="14" fontId="20" fillId="26" borderId="63" xfId="0" applyNumberFormat="1" applyFont="1" applyFill="1" applyBorder="1" applyAlignment="1">
      <alignment horizontal="center" vertical="center" wrapText="1"/>
    </xf>
    <xf numFmtId="0" fontId="20" fillId="26" borderId="22" xfId="0" applyFont="1" applyFill="1" applyBorder="1" applyAlignment="1">
      <alignment horizontal="center" vertical="center" wrapText="1"/>
    </xf>
    <xf numFmtId="14" fontId="26" fillId="26" borderId="22" xfId="0" applyNumberFormat="1" applyFont="1" applyFill="1" applyBorder="1" applyAlignment="1">
      <alignment horizontal="center" vertical="center" wrapText="1"/>
    </xf>
    <xf numFmtId="0" fontId="20" fillId="26" borderId="23" xfId="0" applyFont="1" applyFill="1" applyBorder="1" applyAlignment="1">
      <alignment horizontal="center" vertical="center" wrapText="1"/>
    </xf>
    <xf numFmtId="14" fontId="26" fillId="13" borderId="67" xfId="0" applyNumberFormat="1" applyFont="1" applyFill="1" applyBorder="1" applyAlignment="1">
      <alignment horizontal="center" vertical="center" wrapText="1"/>
    </xf>
    <xf numFmtId="14" fontId="26" fillId="13" borderId="25" xfId="0" applyNumberFormat="1" applyFont="1" applyFill="1" applyBorder="1" applyAlignment="1">
      <alignment horizontal="center" vertical="center" wrapText="1"/>
    </xf>
    <xf numFmtId="14" fontId="26" fillId="13" borderId="22" xfId="0" applyNumberFormat="1"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0" borderId="62" xfId="0" applyFont="1" applyFill="1" applyBorder="1" applyAlignment="1">
      <alignment horizontal="center" vertical="center" wrapText="1"/>
    </xf>
    <xf numFmtId="14" fontId="20" fillId="0" borderId="64" xfId="0" applyNumberFormat="1" applyFont="1" applyFill="1" applyBorder="1" applyAlignment="1">
      <alignment horizontal="center" vertical="center" wrapText="1"/>
    </xf>
    <xf numFmtId="0" fontId="20" fillId="0" borderId="65" xfId="0" applyFont="1" applyFill="1" applyBorder="1" applyAlignment="1">
      <alignment horizontal="center" vertical="center" wrapText="1"/>
    </xf>
    <xf numFmtId="0" fontId="87" fillId="0" borderId="60" xfId="1"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14" fontId="26" fillId="0" borderId="31" xfId="0" applyNumberFormat="1" applyFont="1" applyFill="1" applyBorder="1" applyAlignment="1">
      <alignment horizontal="center" vertical="center" wrapText="1"/>
    </xf>
    <xf numFmtId="172" fontId="41" fillId="0" borderId="2" xfId="7" applyNumberFormat="1" applyFont="1" applyFill="1" applyBorder="1" applyAlignment="1">
      <alignment horizontal="center"/>
    </xf>
    <xf numFmtId="172" fontId="37" fillId="5" borderId="4" xfId="7" applyNumberFormat="1" applyFont="1" applyFill="1" applyBorder="1" applyAlignment="1">
      <alignment horizontal="center"/>
    </xf>
    <xf numFmtId="164" fontId="33" fillId="0" borderId="7" xfId="325" applyFont="1" applyFill="1" applyBorder="1" applyAlignment="1">
      <alignment horizontal="center"/>
    </xf>
    <xf numFmtId="172" fontId="33" fillId="0" borderId="24" xfId="7" applyNumberFormat="1" applyFont="1" applyFill="1" applyBorder="1" applyAlignment="1">
      <alignment horizontal="center"/>
    </xf>
    <xf numFmtId="174" fontId="33" fillId="0" borderId="4" xfId="7" applyNumberFormat="1" applyFont="1" applyFill="1" applyBorder="1" applyAlignment="1">
      <alignment horizontal="center"/>
    </xf>
    <xf numFmtId="17" fontId="40" fillId="0" borderId="0" xfId="3" applyNumberFormat="1" applyFont="1" applyFill="1" applyBorder="1" applyAlignment="1">
      <alignment horizontal="left" vertical="center" wrapText="1"/>
    </xf>
    <xf numFmtId="172" fontId="29" fillId="0" borderId="2" xfId="7" applyNumberFormat="1" applyFont="1" applyFill="1" applyBorder="1" applyAlignment="1">
      <alignment horizontal="center"/>
    </xf>
    <xf numFmtId="172" fontId="33" fillId="0" borderId="4" xfId="325" applyNumberFormat="1" applyFont="1" applyFill="1" applyBorder="1" applyAlignment="1">
      <alignment horizontal="center"/>
    </xf>
    <xf numFmtId="214" fontId="33" fillId="0" borderId="4" xfId="325" applyNumberFormat="1" applyFont="1" applyFill="1" applyBorder="1" applyAlignment="1">
      <alignment horizontal="center"/>
    </xf>
    <xf numFmtId="0" fontId="23" fillId="4" borderId="2" xfId="0"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4" borderId="26"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3" fillId="4" borderId="25" xfId="0" applyFont="1" applyFill="1" applyBorder="1" applyAlignment="1">
      <alignment horizontal="center" vertical="center" wrapText="1"/>
    </xf>
    <xf numFmtId="0" fontId="22" fillId="0" borderId="2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3" fillId="4" borderId="11"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3" fillId="4" borderId="3" xfId="0" applyFont="1" applyFill="1" applyBorder="1" applyAlignment="1">
      <alignment horizontal="left" vertical="center" wrapText="1"/>
    </xf>
    <xf numFmtId="0" fontId="23" fillId="4" borderId="26"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1" fillId="4" borderId="18" xfId="0" applyFont="1" applyFill="1" applyBorder="1" applyAlignment="1">
      <alignment horizontal="left" vertical="center" wrapText="1"/>
    </xf>
    <xf numFmtId="0" fontId="21" fillId="4" borderId="43" xfId="0" applyFont="1" applyFill="1" applyBorder="1" applyAlignment="1">
      <alignment horizontal="left" vertical="center" wrapText="1"/>
    </xf>
    <xf numFmtId="0" fontId="20" fillId="0" borderId="44"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46" xfId="0" applyFont="1" applyFill="1" applyBorder="1" applyAlignment="1">
      <alignment horizontal="center" vertical="center" wrapText="1"/>
    </xf>
    <xf numFmtId="172" fontId="41" fillId="0" borderId="15" xfId="3" applyNumberFormat="1" applyFont="1" applyFill="1" applyBorder="1" applyAlignment="1">
      <alignment horizontal="center" vertical="center"/>
    </xf>
    <xf numFmtId="14" fontId="41" fillId="0" borderId="2" xfId="3" applyNumberFormat="1" applyFont="1" applyFill="1" applyBorder="1" applyAlignment="1">
      <alignment horizontal="center" vertical="center"/>
    </xf>
    <xf numFmtId="14" fontId="41" fillId="0" borderId="25" xfId="3" applyNumberFormat="1" applyFont="1" applyFill="1" applyBorder="1" applyAlignment="1">
      <alignment horizontal="center" vertical="center"/>
    </xf>
    <xf numFmtId="14" fontId="41" fillId="0" borderId="6" xfId="3" applyNumberFormat="1" applyFont="1" applyFill="1" applyBorder="1" applyAlignment="1">
      <alignment horizontal="center" vertical="center"/>
    </xf>
    <xf numFmtId="14" fontId="41" fillId="0" borderId="33" xfId="3" applyNumberFormat="1" applyFont="1" applyFill="1" applyBorder="1" applyAlignment="1">
      <alignment horizontal="center" vertical="center"/>
    </xf>
    <xf numFmtId="169" fontId="41" fillId="0" borderId="4" xfId="3" applyNumberFormat="1" applyFont="1" applyFill="1" applyBorder="1" applyAlignment="1">
      <alignment horizontal="center" vertical="center"/>
    </xf>
    <xf numFmtId="169" fontId="41" fillId="0" borderId="2" xfId="3" applyNumberFormat="1" applyFont="1" applyFill="1" applyBorder="1" applyAlignment="1">
      <alignment horizontal="center" vertical="center"/>
    </xf>
    <xf numFmtId="169" fontId="41" fillId="0" borderId="25" xfId="3" applyNumberFormat="1" applyFont="1" applyFill="1" applyBorder="1" applyAlignment="1">
      <alignment horizontal="center" vertical="center"/>
    </xf>
    <xf numFmtId="17" fontId="41" fillId="0" borderId="4" xfId="3" applyNumberFormat="1" applyFont="1" applyFill="1" applyBorder="1" applyAlignment="1">
      <alignment horizontal="justify" vertical="center" wrapText="1"/>
    </xf>
    <xf numFmtId="17" fontId="41" fillId="0" borderId="2" xfId="3" applyNumberFormat="1" applyFont="1" applyFill="1" applyBorder="1" applyAlignment="1">
      <alignment horizontal="justify" vertical="center" wrapText="1"/>
    </xf>
    <xf numFmtId="17" fontId="41" fillId="0" borderId="25" xfId="3" applyNumberFormat="1" applyFont="1" applyFill="1" applyBorder="1" applyAlignment="1">
      <alignment horizontal="justify" vertical="center" wrapText="1"/>
    </xf>
    <xf numFmtId="172" fontId="41" fillId="0" borderId="29" xfId="3" applyNumberFormat="1" applyFont="1" applyFill="1" applyBorder="1" applyAlignment="1">
      <alignment horizontal="center" vertical="center"/>
    </xf>
    <xf numFmtId="2" fontId="41" fillId="0" borderId="33" xfId="3" applyNumberFormat="1" applyFont="1" applyFill="1" applyBorder="1" applyAlignment="1">
      <alignment horizontal="center" vertical="center"/>
    </xf>
    <xf numFmtId="2" fontId="41" fillId="0" borderId="41" xfId="3" applyNumberFormat="1" applyFont="1" applyFill="1" applyBorder="1" applyAlignment="1">
      <alignment horizontal="center" vertical="center"/>
    </xf>
    <xf numFmtId="2" fontId="41" fillId="0" borderId="43" xfId="3" applyNumberFormat="1" applyFont="1" applyFill="1" applyBorder="1" applyAlignment="1">
      <alignment horizontal="center" vertical="center"/>
    </xf>
    <xf numFmtId="14" fontId="41" fillId="0" borderId="11" xfId="3" applyNumberFormat="1" applyFont="1" applyFill="1" applyBorder="1" applyAlignment="1">
      <alignment horizontal="center" vertical="center"/>
    </xf>
    <xf numFmtId="14" fontId="41" fillId="0" borderId="19" xfId="3" applyNumberFormat="1" applyFont="1" applyFill="1" applyBorder="1" applyAlignment="1">
      <alignment horizontal="center" vertical="center"/>
    </xf>
    <xf numFmtId="17" fontId="41" fillId="0" borderId="7" xfId="3" applyNumberFormat="1" applyFont="1" applyFill="1" applyBorder="1" applyAlignment="1">
      <alignment horizontal="justify" vertical="center" wrapText="1"/>
    </xf>
    <xf numFmtId="169" fontId="41" fillId="0" borderId="7" xfId="3" applyNumberFormat="1" applyFont="1" applyFill="1" applyBorder="1" applyAlignment="1">
      <alignment horizontal="center" vertical="center"/>
    </xf>
    <xf numFmtId="209" fontId="41" fillId="0" borderId="15" xfId="3" applyNumberFormat="1" applyFont="1" applyFill="1" applyBorder="1" applyAlignment="1">
      <alignment horizontal="center" vertical="center"/>
    </xf>
    <xf numFmtId="14" fontId="41" fillId="0" borderId="24" xfId="3" applyNumberFormat="1" applyFont="1" applyFill="1" applyBorder="1" applyAlignment="1">
      <alignment horizontal="center" vertical="center"/>
    </xf>
    <xf numFmtId="14" fontId="41" fillId="0" borderId="18" xfId="3" applyNumberFormat="1" applyFont="1" applyFill="1" applyBorder="1" applyAlignment="1">
      <alignment horizontal="center" vertical="center"/>
    </xf>
    <xf numFmtId="14" fontId="41" fillId="0" borderId="41" xfId="3" applyNumberFormat="1" applyFont="1" applyFill="1" applyBorder="1" applyAlignment="1">
      <alignment horizontal="center" vertical="center"/>
    </xf>
    <xf numFmtId="14" fontId="41" fillId="0" borderId="43" xfId="3" applyNumberFormat="1" applyFont="1" applyFill="1" applyBorder="1" applyAlignment="1">
      <alignment horizontal="center" vertical="center"/>
    </xf>
    <xf numFmtId="0" fontId="27" fillId="25" borderId="4" xfId="3" applyFont="1" applyFill="1" applyBorder="1" applyAlignment="1">
      <alignment horizontal="center" vertical="center" wrapText="1"/>
    </xf>
    <xf numFmtId="0" fontId="27" fillId="25" borderId="2" xfId="3" applyFont="1" applyFill="1" applyBorder="1" applyAlignment="1">
      <alignment horizontal="center" vertical="center" wrapText="1"/>
    </xf>
    <xf numFmtId="0" fontId="27" fillId="25" borderId="25" xfId="3" applyFont="1" applyFill="1" applyBorder="1" applyAlignment="1">
      <alignment horizontal="center" vertical="center" wrapText="1"/>
    </xf>
    <xf numFmtId="0" fontId="27" fillId="0" borderId="18" xfId="3" applyFont="1" applyFill="1" applyBorder="1" applyAlignment="1">
      <alignment horizontal="center" vertical="center" wrapText="1"/>
    </xf>
    <xf numFmtId="0" fontId="27" fillId="0" borderId="2" xfId="3" applyFont="1" applyFill="1" applyBorder="1" applyAlignment="1">
      <alignment horizontal="center" vertical="center" wrapText="1"/>
    </xf>
    <xf numFmtId="0" fontId="27" fillId="0" borderId="25" xfId="3" applyFont="1" applyFill="1" applyBorder="1" applyAlignment="1">
      <alignment horizontal="center" vertical="center" wrapText="1"/>
    </xf>
    <xf numFmtId="169" fontId="41" fillId="0" borderId="18" xfId="3" applyNumberFormat="1" applyFont="1" applyFill="1" applyBorder="1" applyAlignment="1">
      <alignment horizontal="center" vertical="center"/>
    </xf>
    <xf numFmtId="17" fontId="41" fillId="0" borderId="18" xfId="3" applyNumberFormat="1" applyFont="1" applyFill="1" applyBorder="1" applyAlignment="1">
      <alignment horizontal="justify" vertical="center" wrapText="1"/>
    </xf>
    <xf numFmtId="172" fontId="41" fillId="0" borderId="48" xfId="3" applyNumberFormat="1" applyFont="1" applyFill="1" applyBorder="1" applyAlignment="1">
      <alignment horizontal="center" vertical="center"/>
    </xf>
    <xf numFmtId="172" fontId="41" fillId="0" borderId="45" xfId="3" applyNumberFormat="1" applyFont="1" applyFill="1" applyBorder="1" applyAlignment="1">
      <alignment horizontal="center" vertical="center"/>
    </xf>
    <xf numFmtId="0" fontId="29" fillId="0" borderId="3"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9" fillId="0" borderId="19" xfId="3" applyFont="1" applyFill="1" applyBorder="1" applyAlignment="1">
      <alignment horizontal="center" vertical="center" wrapText="1"/>
    </xf>
    <xf numFmtId="14" fontId="41" fillId="0" borderId="20" xfId="3" applyNumberFormat="1" applyFont="1" applyFill="1" applyBorder="1" applyAlignment="1">
      <alignment horizontal="center" vertical="center"/>
    </xf>
    <xf numFmtId="14" fontId="41" fillId="0" borderId="42" xfId="3" applyNumberFormat="1" applyFont="1" applyFill="1" applyBorder="1" applyAlignment="1">
      <alignment horizontal="center" vertical="center"/>
    </xf>
    <xf numFmtId="0" fontId="27" fillId="0" borderId="4" xfId="3" applyFont="1" applyFill="1" applyBorder="1" applyAlignment="1">
      <alignment horizontal="center" vertical="center" wrapText="1"/>
    </xf>
    <xf numFmtId="172" fontId="41" fillId="0" borderId="17" xfId="3" applyNumberFormat="1" applyFont="1" applyFill="1" applyBorder="1" applyAlignment="1">
      <alignment horizontal="center" vertical="center"/>
    </xf>
    <xf numFmtId="164" fontId="41" fillId="5" borderId="33" xfId="325" applyFont="1" applyFill="1" applyBorder="1" applyAlignment="1">
      <alignment horizontal="center" vertical="center"/>
    </xf>
    <xf numFmtId="164" fontId="41" fillId="5" borderId="41" xfId="325" applyFont="1" applyFill="1" applyBorder="1" applyAlignment="1">
      <alignment horizontal="center" vertical="center"/>
    </xf>
    <xf numFmtId="164" fontId="41" fillId="5" borderId="43" xfId="325" applyFont="1" applyFill="1" applyBorder="1" applyAlignment="1">
      <alignment horizontal="center" vertical="center"/>
    </xf>
    <xf numFmtId="0" fontId="31" fillId="0" borderId="4" xfId="3" applyFont="1" applyFill="1" applyBorder="1" applyAlignment="1">
      <alignment horizontal="center" vertical="center"/>
    </xf>
    <xf numFmtId="0" fontId="31" fillId="0" borderId="2" xfId="3" applyFont="1" applyFill="1" applyBorder="1" applyAlignment="1">
      <alignment horizontal="center" vertical="center"/>
    </xf>
    <xf numFmtId="0" fontId="31" fillId="0" borderId="25" xfId="3" applyFont="1" applyFill="1" applyBorder="1" applyAlignment="1">
      <alignment horizontal="center" vertical="center"/>
    </xf>
    <xf numFmtId="0" fontId="27" fillId="25" borderId="3" xfId="3" applyFont="1" applyFill="1" applyBorder="1" applyAlignment="1">
      <alignment horizontal="center" vertical="center" wrapText="1"/>
    </xf>
    <xf numFmtId="0" fontId="27" fillId="25" borderId="11" xfId="3" applyFont="1" applyFill="1" applyBorder="1" applyAlignment="1">
      <alignment horizontal="center" vertical="center" wrapText="1"/>
    </xf>
    <xf numFmtId="0" fontId="27" fillId="25" borderId="12" xfId="3" applyFont="1" applyFill="1" applyBorder="1" applyAlignment="1">
      <alignment horizontal="center" vertical="center" wrapText="1"/>
    </xf>
    <xf numFmtId="0" fontId="27" fillId="0" borderId="7" xfId="3" applyFont="1" applyFill="1" applyBorder="1" applyAlignment="1">
      <alignment horizontal="center" vertical="center" wrapText="1"/>
    </xf>
    <xf numFmtId="0" fontId="31" fillId="0" borderId="7" xfId="3" applyFont="1" applyFill="1" applyBorder="1" applyAlignment="1">
      <alignment horizontal="center" vertical="center"/>
    </xf>
    <xf numFmtId="0" fontId="27" fillId="25" borderId="18" xfId="3" applyFont="1" applyFill="1" applyBorder="1" applyAlignment="1">
      <alignment horizontal="center" vertical="center" wrapText="1"/>
    </xf>
    <xf numFmtId="0" fontId="31" fillId="0" borderId="18" xfId="3" applyFont="1" applyFill="1" applyBorder="1" applyAlignment="1">
      <alignment horizontal="center" vertical="center"/>
    </xf>
    <xf numFmtId="14" fontId="41" fillId="0" borderId="4" xfId="3" applyNumberFormat="1" applyFont="1" applyFill="1" applyBorder="1" applyAlignment="1">
      <alignment horizontal="center" vertical="center"/>
    </xf>
    <xf numFmtId="14" fontId="41" fillId="0" borderId="7" xfId="3" applyNumberFormat="1" applyFont="1" applyFill="1" applyBorder="1" applyAlignment="1">
      <alignment horizontal="center" vertical="center"/>
    </xf>
    <xf numFmtId="14" fontId="41" fillId="0" borderId="5" xfId="3" applyNumberFormat="1" applyFont="1" applyFill="1" applyBorder="1" applyAlignment="1">
      <alignment horizontal="center" vertical="center"/>
    </xf>
    <xf numFmtId="14" fontId="41" fillId="0" borderId="57" xfId="3" applyNumberFormat="1" applyFont="1" applyFill="1" applyBorder="1" applyAlignment="1">
      <alignment horizontal="center" vertical="center"/>
    </xf>
    <xf numFmtId="14" fontId="41" fillId="0" borderId="87" xfId="3" applyNumberFormat="1" applyFont="1" applyFill="1" applyBorder="1" applyAlignment="1">
      <alignment horizontal="center" vertical="center"/>
    </xf>
    <xf numFmtId="14" fontId="41" fillId="0" borderId="88" xfId="3" applyNumberFormat="1" applyFont="1" applyFill="1" applyBorder="1" applyAlignment="1">
      <alignment horizontal="center" vertical="center"/>
    </xf>
    <xf numFmtId="172" fontId="41" fillId="0" borderId="4" xfId="3" applyNumberFormat="1" applyFont="1" applyFill="1" applyBorder="1" applyAlignment="1">
      <alignment horizontal="center" vertical="center"/>
    </xf>
    <xf numFmtId="172" fontId="41" fillId="0" borderId="2" xfId="3" applyNumberFormat="1" applyFont="1" applyFill="1" applyBorder="1" applyAlignment="1">
      <alignment horizontal="center" vertical="center"/>
    </xf>
    <xf numFmtId="172" fontId="41" fillId="0" borderId="7" xfId="3" applyNumberFormat="1" applyFont="1" applyFill="1" applyBorder="1" applyAlignment="1">
      <alignment horizontal="center" vertical="center"/>
    </xf>
    <xf numFmtId="2" fontId="41" fillId="0" borderId="4" xfId="3" applyNumberFormat="1" applyFont="1" applyFill="1" applyBorder="1" applyAlignment="1">
      <alignment horizontal="center" vertical="center"/>
    </xf>
    <xf numFmtId="2" fontId="41" fillId="0" borderId="2" xfId="3" applyNumberFormat="1" applyFont="1" applyFill="1" applyBorder="1" applyAlignment="1">
      <alignment horizontal="center" vertical="center"/>
    </xf>
    <xf numFmtId="2" fontId="41" fillId="0" borderId="7" xfId="3" applyNumberFormat="1" applyFont="1" applyFill="1" applyBorder="1" applyAlignment="1">
      <alignment horizontal="center" vertical="center"/>
    </xf>
    <xf numFmtId="0" fontId="29" fillId="0" borderId="42" xfId="3" applyFont="1" applyFill="1" applyBorder="1" applyAlignment="1">
      <alignment horizontal="center" vertical="center" wrapText="1"/>
    </xf>
    <xf numFmtId="17" fontId="41" fillId="23" borderId="4" xfId="3" applyNumberFormat="1" applyFont="1" applyFill="1" applyBorder="1" applyAlignment="1">
      <alignment horizontal="justify" vertical="center" wrapText="1"/>
    </xf>
    <xf numFmtId="17" fontId="41" fillId="23" borderId="2" xfId="3" applyNumberFormat="1" applyFont="1" applyFill="1" applyBorder="1" applyAlignment="1">
      <alignment horizontal="justify" vertical="center" wrapText="1"/>
    </xf>
    <xf numFmtId="17" fontId="41" fillId="23" borderId="7" xfId="3" applyNumberFormat="1" applyFont="1" applyFill="1" applyBorder="1" applyAlignment="1">
      <alignment horizontal="justify" vertical="center" wrapText="1"/>
    </xf>
    <xf numFmtId="169" fontId="41" fillId="0" borderId="3" xfId="3" applyNumberFormat="1" applyFont="1" applyFill="1" applyBorder="1" applyAlignment="1">
      <alignment horizontal="center" vertical="center"/>
    </xf>
    <xf numFmtId="169" fontId="41" fillId="0" borderId="11" xfId="3" applyNumberFormat="1" applyFont="1" applyFill="1" applyBorder="1" applyAlignment="1">
      <alignment horizontal="center" vertical="center"/>
    </xf>
    <xf numFmtId="169" fontId="41" fillId="0" borderId="19" xfId="3" applyNumberFormat="1" applyFont="1" applyFill="1" applyBorder="1" applyAlignment="1">
      <alignment horizontal="center" vertical="center"/>
    </xf>
    <xf numFmtId="0" fontId="31" fillId="40" borderId="4" xfId="3" applyFont="1" applyFill="1" applyBorder="1" applyAlignment="1">
      <alignment horizontal="center" vertical="center"/>
    </xf>
    <xf numFmtId="0" fontId="31" fillId="40" borderId="2" xfId="3" applyFont="1" applyFill="1" applyBorder="1" applyAlignment="1">
      <alignment horizontal="center" vertical="center"/>
    </xf>
    <xf numFmtId="0" fontId="31" fillId="40" borderId="7" xfId="3" applyFont="1" applyFill="1" applyBorder="1" applyAlignment="1">
      <alignment horizontal="center" vertical="center"/>
    </xf>
    <xf numFmtId="169" fontId="41" fillId="40" borderId="4" xfId="3" applyNumberFormat="1" applyFont="1" applyFill="1" applyBorder="1" applyAlignment="1">
      <alignment horizontal="center" vertical="center"/>
    </xf>
    <xf numFmtId="169" fontId="41" fillId="40" borderId="2" xfId="3" applyNumberFormat="1" applyFont="1" applyFill="1" applyBorder="1" applyAlignment="1">
      <alignment horizontal="center" vertical="center"/>
    </xf>
    <xf numFmtId="169" fontId="41" fillId="40" borderId="7" xfId="3" applyNumberFormat="1" applyFont="1" applyFill="1" applyBorder="1" applyAlignment="1">
      <alignment horizontal="center" vertical="center"/>
    </xf>
    <xf numFmtId="0" fontId="29" fillId="37" borderId="3" xfId="3" applyFont="1" applyFill="1" applyBorder="1" applyAlignment="1">
      <alignment horizontal="center" vertical="center" wrapText="1"/>
    </xf>
    <xf numFmtId="0" fontId="29" fillId="37" borderId="11" xfId="3" applyFont="1" applyFill="1" applyBorder="1" applyAlignment="1">
      <alignment horizontal="center" vertical="center" wrapText="1"/>
    </xf>
    <xf numFmtId="0" fontId="29" fillId="37" borderId="12" xfId="3" applyFont="1" applyFill="1" applyBorder="1" applyAlignment="1">
      <alignment horizontal="center" vertical="center" wrapText="1"/>
    </xf>
    <xf numFmtId="0" fontId="27" fillId="40" borderId="4" xfId="3" applyFont="1" applyFill="1" applyBorder="1" applyAlignment="1">
      <alignment horizontal="center" vertical="center" wrapText="1"/>
    </xf>
    <xf numFmtId="0" fontId="27" fillId="40" borderId="2" xfId="3" applyFont="1" applyFill="1" applyBorder="1" applyAlignment="1">
      <alignment horizontal="center" vertical="center" wrapText="1"/>
    </xf>
    <xf numFmtId="0" fontId="27" fillId="40" borderId="7" xfId="3" applyFont="1" applyFill="1" applyBorder="1" applyAlignment="1">
      <alignment horizontal="center" vertical="center" wrapText="1"/>
    </xf>
    <xf numFmtId="0" fontId="27" fillId="37" borderId="18" xfId="3" applyFont="1" applyFill="1" applyBorder="1" applyAlignment="1">
      <alignment horizontal="center" vertical="center" wrapText="1"/>
    </xf>
    <xf numFmtId="0" fontId="27" fillId="37" borderId="2" xfId="3" applyFont="1" applyFill="1" applyBorder="1" applyAlignment="1">
      <alignment horizontal="center" vertical="center" wrapText="1"/>
    </xf>
    <xf numFmtId="0" fontId="27" fillId="37" borderId="25" xfId="3" applyFont="1" applyFill="1" applyBorder="1" applyAlignment="1">
      <alignment horizontal="center" vertical="center" wrapText="1"/>
    </xf>
    <xf numFmtId="169" fontId="41" fillId="37" borderId="18" xfId="3" applyNumberFormat="1" applyFont="1" applyFill="1" applyBorder="1" applyAlignment="1">
      <alignment horizontal="center" vertical="center"/>
    </xf>
    <xf numFmtId="169" fontId="41" fillId="37" borderId="2" xfId="3" applyNumberFormat="1" applyFont="1" applyFill="1" applyBorder="1" applyAlignment="1">
      <alignment horizontal="center" vertical="center"/>
    </xf>
    <xf numFmtId="169" fontId="41" fillId="37" borderId="25" xfId="3" applyNumberFormat="1" applyFont="1" applyFill="1" applyBorder="1" applyAlignment="1">
      <alignment horizontal="center" vertical="center"/>
    </xf>
    <xf numFmtId="0" fontId="29" fillId="0" borderId="4" xfId="3" applyFont="1" applyFill="1" applyBorder="1" applyAlignment="1">
      <alignment horizontal="center" vertical="center" wrapText="1"/>
    </xf>
    <xf numFmtId="0" fontId="29" fillId="0" borderId="2" xfId="3" applyFont="1" applyFill="1" applyBorder="1" applyAlignment="1">
      <alignment horizontal="center" vertical="center" wrapText="1"/>
    </xf>
    <xf numFmtId="0" fontId="29" fillId="0" borderId="25" xfId="3" applyFont="1" applyFill="1" applyBorder="1" applyAlignment="1">
      <alignment horizontal="center" vertical="center" wrapText="1"/>
    </xf>
    <xf numFmtId="182" fontId="41" fillId="37" borderId="24" xfId="3" applyNumberFormat="1" applyFont="1" applyFill="1" applyBorder="1" applyAlignment="1">
      <alignment horizontal="center" vertical="center"/>
    </xf>
    <xf numFmtId="182" fontId="41" fillId="37" borderId="69" xfId="3" applyNumberFormat="1" applyFont="1" applyFill="1" applyBorder="1" applyAlignment="1">
      <alignment horizontal="center" vertical="center"/>
    </xf>
    <xf numFmtId="0" fontId="31" fillId="37" borderId="4" xfId="3" applyFont="1" applyFill="1" applyBorder="1" applyAlignment="1">
      <alignment horizontal="center" vertical="center"/>
    </xf>
    <xf numFmtId="0" fontId="31" fillId="37" borderId="2" xfId="3" applyFont="1" applyFill="1" applyBorder="1" applyAlignment="1">
      <alignment horizontal="center" vertical="center"/>
    </xf>
    <xf numFmtId="0" fontId="31" fillId="37" borderId="7" xfId="3" applyFont="1" applyFill="1" applyBorder="1" applyAlignment="1">
      <alignment horizontal="center" vertical="center"/>
    </xf>
    <xf numFmtId="182" fontId="41" fillId="37" borderId="4" xfId="3" applyNumberFormat="1" applyFont="1" applyFill="1" applyBorder="1" applyAlignment="1">
      <alignment horizontal="center" vertical="center"/>
    </xf>
    <xf numFmtId="182" fontId="41" fillId="37" borderId="2" xfId="3" applyNumberFormat="1" applyFont="1" applyFill="1" applyBorder="1" applyAlignment="1">
      <alignment horizontal="center" vertical="center"/>
    </xf>
    <xf numFmtId="182" fontId="41" fillId="37" borderId="7" xfId="3" applyNumberFormat="1" applyFont="1" applyFill="1" applyBorder="1" applyAlignment="1">
      <alignment horizontal="center" vertical="center"/>
    </xf>
    <xf numFmtId="169" fontId="41" fillId="33" borderId="4" xfId="3" applyNumberFormat="1" applyFont="1" applyFill="1" applyBorder="1" applyAlignment="1">
      <alignment horizontal="center" vertical="center"/>
    </xf>
    <xf numFmtId="169" fontId="41" fillId="33" borderId="2" xfId="3" applyNumberFormat="1" applyFont="1" applyFill="1" applyBorder="1" applyAlignment="1">
      <alignment horizontal="center" vertical="center"/>
    </xf>
    <xf numFmtId="169" fontId="41" fillId="33" borderId="7" xfId="3" applyNumberFormat="1" applyFont="1" applyFill="1" applyBorder="1" applyAlignment="1">
      <alignment horizontal="center" vertical="center"/>
    </xf>
    <xf numFmtId="0" fontId="27" fillId="37" borderId="4" xfId="3" applyFont="1" applyFill="1" applyBorder="1" applyAlignment="1">
      <alignment horizontal="center" vertical="center" wrapText="1"/>
    </xf>
    <xf numFmtId="0" fontId="27" fillId="37" borderId="7" xfId="3" applyFont="1" applyFill="1" applyBorder="1" applyAlignment="1">
      <alignment horizontal="center" vertical="center" wrapText="1"/>
    </xf>
    <xf numFmtId="0" fontId="31" fillId="33" borderId="4" xfId="3" applyFont="1" applyFill="1" applyBorder="1" applyAlignment="1">
      <alignment horizontal="center" vertical="center"/>
    </xf>
    <xf numFmtId="0" fontId="31" fillId="33" borderId="2" xfId="3" applyFont="1" applyFill="1" applyBorder="1" applyAlignment="1">
      <alignment horizontal="center" vertical="center"/>
    </xf>
    <xf numFmtId="0" fontId="31" fillId="33" borderId="7" xfId="3" applyFont="1" applyFill="1" applyBorder="1" applyAlignment="1">
      <alignment horizontal="center" vertical="center"/>
    </xf>
    <xf numFmtId="172" fontId="41" fillId="0" borderId="25" xfId="3" applyNumberFormat="1" applyFont="1" applyFill="1" applyBorder="1" applyAlignment="1">
      <alignment horizontal="center" vertical="center"/>
    </xf>
    <xf numFmtId="2" fontId="41" fillId="0" borderId="25" xfId="3" applyNumberFormat="1" applyFont="1" applyFill="1" applyBorder="1" applyAlignment="1">
      <alignment horizontal="center" vertical="center"/>
    </xf>
    <xf numFmtId="0" fontId="29" fillId="39" borderId="3" xfId="3" applyFont="1" applyFill="1" applyBorder="1" applyAlignment="1">
      <alignment horizontal="center" vertical="center" wrapText="1"/>
    </xf>
    <xf numFmtId="0" fontId="29" fillId="39" borderId="11" xfId="3" applyFont="1" applyFill="1" applyBorder="1" applyAlignment="1">
      <alignment horizontal="center" vertical="center" wrapText="1"/>
    </xf>
    <xf numFmtId="0" fontId="29" fillId="39" borderId="19" xfId="3" applyFont="1" applyFill="1" applyBorder="1" applyAlignment="1">
      <alignment horizontal="center" vertical="center" wrapText="1"/>
    </xf>
    <xf numFmtId="0" fontId="27" fillId="39" borderId="4" xfId="3" applyFont="1" applyFill="1" applyBorder="1" applyAlignment="1">
      <alignment horizontal="center" vertical="center" wrapText="1"/>
    </xf>
    <xf numFmtId="0" fontId="27" fillId="39" borderId="2" xfId="3" applyFont="1" applyFill="1" applyBorder="1" applyAlignment="1">
      <alignment horizontal="center" vertical="center" wrapText="1"/>
    </xf>
    <xf numFmtId="0" fontId="27" fillId="39" borderId="25" xfId="3" applyFont="1" applyFill="1" applyBorder="1" applyAlignment="1">
      <alignment horizontal="center" vertical="center" wrapText="1"/>
    </xf>
    <xf numFmtId="0" fontId="27" fillId="33" borderId="4" xfId="3" applyFont="1" applyFill="1" applyBorder="1" applyAlignment="1">
      <alignment horizontal="center" vertical="center" wrapText="1"/>
    </xf>
    <xf numFmtId="0" fontId="27" fillId="33" borderId="2" xfId="3" applyFont="1" applyFill="1" applyBorder="1" applyAlignment="1">
      <alignment horizontal="center" vertical="center" wrapText="1"/>
    </xf>
    <xf numFmtId="0" fontId="27" fillId="33" borderId="7" xfId="3" applyFont="1" applyFill="1" applyBorder="1" applyAlignment="1">
      <alignment horizontal="center" vertical="center" wrapText="1"/>
    </xf>
    <xf numFmtId="0" fontId="31" fillId="39" borderId="4" xfId="3" applyFont="1" applyFill="1" applyBorder="1" applyAlignment="1">
      <alignment horizontal="center" vertical="center"/>
    </xf>
    <xf numFmtId="0" fontId="31" fillId="39" borderId="2" xfId="3" applyFont="1" applyFill="1" applyBorder="1" applyAlignment="1">
      <alignment horizontal="center" vertical="center"/>
    </xf>
    <xf numFmtId="0" fontId="31" fillId="39" borderId="7" xfId="3" applyFont="1" applyFill="1" applyBorder="1" applyAlignment="1">
      <alignment horizontal="center" vertical="center"/>
    </xf>
    <xf numFmtId="0" fontId="29" fillId="33" borderId="3" xfId="3" applyFont="1" applyFill="1" applyBorder="1" applyAlignment="1">
      <alignment horizontal="center" vertical="center" wrapText="1"/>
    </xf>
    <xf numFmtId="0" fontId="29" fillId="33" borderId="11" xfId="3" applyFont="1" applyFill="1" applyBorder="1" applyAlignment="1">
      <alignment horizontal="center" vertical="center" wrapText="1"/>
    </xf>
    <xf numFmtId="0" fontId="29" fillId="33" borderId="12" xfId="3" applyFont="1" applyFill="1" applyBorder="1" applyAlignment="1">
      <alignment horizontal="center" vertical="center" wrapText="1"/>
    </xf>
    <xf numFmtId="169" fontId="41" fillId="37" borderId="4" xfId="3" applyNumberFormat="1" applyFont="1" applyFill="1" applyBorder="1" applyAlignment="1">
      <alignment horizontal="center" vertical="center"/>
    </xf>
    <xf numFmtId="169" fontId="41" fillId="37" borderId="7" xfId="3" applyNumberFormat="1" applyFont="1" applyFill="1" applyBorder="1" applyAlignment="1">
      <alignment horizontal="center" vertical="center"/>
    </xf>
    <xf numFmtId="0" fontId="31" fillId="37" borderId="18" xfId="3" applyFont="1" applyFill="1" applyBorder="1" applyAlignment="1">
      <alignment horizontal="center" vertical="center"/>
    </xf>
    <xf numFmtId="169" fontId="86" fillId="33" borderId="4" xfId="3" applyNumberFormat="1" applyFont="1" applyFill="1" applyBorder="1" applyAlignment="1">
      <alignment horizontal="center" vertical="center"/>
    </xf>
    <xf numFmtId="169" fontId="86" fillId="33" borderId="2" xfId="3" applyNumberFormat="1" applyFont="1" applyFill="1" applyBorder="1" applyAlignment="1">
      <alignment horizontal="center" vertical="center"/>
    </xf>
    <xf numFmtId="169" fontId="86" fillId="33" borderId="7" xfId="3" applyNumberFormat="1" applyFont="1" applyFill="1" applyBorder="1" applyAlignment="1">
      <alignment horizontal="center" vertical="center"/>
    </xf>
    <xf numFmtId="0" fontId="29" fillId="37" borderId="42" xfId="3" applyFont="1" applyFill="1" applyBorder="1" applyAlignment="1">
      <alignment horizontal="center" vertical="center" wrapText="1"/>
    </xf>
    <xf numFmtId="0" fontId="29" fillId="37" borderId="19" xfId="3" applyFont="1" applyFill="1" applyBorder="1" applyAlignment="1">
      <alignment horizontal="center" vertical="center" wrapText="1"/>
    </xf>
    <xf numFmtId="0" fontId="33" fillId="33" borderId="3" xfId="3" applyFont="1" applyFill="1" applyBorder="1" applyAlignment="1">
      <alignment horizontal="center" vertical="center"/>
    </xf>
    <xf numFmtId="0" fontId="33" fillId="33" borderId="11" xfId="3" applyFont="1" applyFill="1" applyBorder="1" applyAlignment="1">
      <alignment horizontal="center" vertical="center"/>
    </xf>
    <xf numFmtId="0" fontId="33" fillId="33" borderId="12" xfId="3" applyFont="1" applyFill="1" applyBorder="1" applyAlignment="1">
      <alignment horizontal="center" vertical="center"/>
    </xf>
    <xf numFmtId="17" fontId="41" fillId="0" borderId="24" xfId="3" applyNumberFormat="1" applyFont="1" applyFill="1" applyBorder="1" applyAlignment="1">
      <alignment horizontal="center" vertical="center" wrapText="1"/>
    </xf>
    <xf numFmtId="17" fontId="41" fillId="0" borderId="69" xfId="3" applyNumberFormat="1" applyFont="1" applyFill="1" applyBorder="1" applyAlignment="1">
      <alignment horizontal="center" vertical="center" wrapText="1"/>
    </xf>
    <xf numFmtId="0" fontId="29" fillId="33" borderId="42" xfId="3" applyFont="1" applyFill="1" applyBorder="1" applyAlignment="1">
      <alignment horizontal="center" vertical="center" wrapText="1"/>
    </xf>
    <xf numFmtId="0" fontId="29" fillId="39" borderId="12" xfId="3" applyFont="1" applyFill="1" applyBorder="1" applyAlignment="1">
      <alignment horizontal="center" vertical="center" wrapText="1"/>
    </xf>
    <xf numFmtId="14" fontId="41" fillId="0" borderId="19" xfId="3" applyNumberFormat="1" applyFont="1" applyFill="1" applyBorder="1" applyAlignment="1">
      <alignment horizontal="center"/>
    </xf>
    <xf numFmtId="14" fontId="41" fillId="0" borderId="20" xfId="3" applyNumberFormat="1" applyFont="1" applyFill="1" applyBorder="1" applyAlignment="1">
      <alignment horizontal="center"/>
    </xf>
    <xf numFmtId="14" fontId="41" fillId="0" borderId="42" xfId="3" applyNumberFormat="1" applyFont="1" applyFill="1" applyBorder="1" applyAlignment="1">
      <alignment horizontal="center"/>
    </xf>
    <xf numFmtId="14" fontId="41" fillId="0" borderId="25" xfId="3" applyNumberFormat="1" applyFont="1" applyFill="1" applyBorder="1" applyAlignment="1">
      <alignment horizontal="center"/>
    </xf>
    <xf numFmtId="14" fontId="41" fillId="0" borderId="24" xfId="3" applyNumberFormat="1" applyFont="1" applyFill="1" applyBorder="1" applyAlignment="1">
      <alignment horizontal="center"/>
    </xf>
    <xf numFmtId="14" fontId="41" fillId="0" borderId="18" xfId="3" applyNumberFormat="1" applyFont="1" applyFill="1" applyBorder="1" applyAlignment="1">
      <alignment horizontal="center"/>
    </xf>
    <xf numFmtId="0" fontId="29" fillId="0" borderId="12" xfId="3" applyFont="1" applyFill="1" applyBorder="1" applyAlignment="1">
      <alignment horizontal="center" vertical="center" wrapText="1"/>
    </xf>
    <xf numFmtId="0" fontId="29" fillId="40" borderId="3" xfId="3" applyFont="1" applyFill="1" applyBorder="1" applyAlignment="1">
      <alignment horizontal="center" vertical="center" wrapText="1"/>
    </xf>
    <xf numFmtId="0" fontId="29" fillId="40" borderId="11" xfId="3" applyFont="1" applyFill="1" applyBorder="1" applyAlignment="1">
      <alignment horizontal="center" vertical="center" wrapText="1"/>
    </xf>
    <xf numFmtId="0" fontId="29" fillId="40" borderId="12" xfId="3" applyFont="1" applyFill="1" applyBorder="1" applyAlignment="1">
      <alignment horizontal="center" vertical="center" wrapText="1"/>
    </xf>
    <xf numFmtId="17" fontId="31" fillId="0" borderId="4" xfId="3" applyNumberFormat="1" applyFont="1" applyFill="1" applyBorder="1" applyAlignment="1">
      <alignment horizontal="justify" vertical="center" wrapText="1"/>
    </xf>
    <xf numFmtId="17" fontId="31" fillId="0" borderId="2" xfId="3" applyNumberFormat="1" applyFont="1" applyFill="1" applyBorder="1" applyAlignment="1">
      <alignment horizontal="justify" vertical="center" wrapText="1"/>
    </xf>
    <xf numFmtId="17" fontId="31" fillId="0" borderId="7" xfId="3" applyNumberFormat="1" applyFont="1" applyFill="1" applyBorder="1" applyAlignment="1">
      <alignment horizontal="justify" vertical="center" wrapText="1"/>
    </xf>
    <xf numFmtId="0" fontId="31" fillId="37" borderId="25" xfId="3" applyFont="1" applyFill="1" applyBorder="1" applyAlignment="1">
      <alignment horizontal="center" vertical="center"/>
    </xf>
    <xf numFmtId="216" fontId="41" fillId="5" borderId="33" xfId="325" applyNumberFormat="1" applyFont="1" applyFill="1" applyBorder="1" applyAlignment="1">
      <alignment horizontal="center" vertical="center"/>
    </xf>
    <xf numFmtId="216" fontId="41" fillId="5" borderId="41" xfId="325" applyNumberFormat="1" applyFont="1" applyFill="1" applyBorder="1" applyAlignment="1">
      <alignment horizontal="center" vertical="center"/>
    </xf>
    <xf numFmtId="216" fontId="41" fillId="5" borderId="43" xfId="325" applyNumberFormat="1" applyFont="1" applyFill="1" applyBorder="1" applyAlignment="1">
      <alignment horizontal="center" vertical="center"/>
    </xf>
    <xf numFmtId="0" fontId="31" fillId="37" borderId="24" xfId="3" applyFont="1" applyFill="1" applyBorder="1" applyAlignment="1">
      <alignment horizontal="center" vertical="center"/>
    </xf>
    <xf numFmtId="0" fontId="31" fillId="37" borderId="69" xfId="3" applyFont="1" applyFill="1" applyBorder="1" applyAlignment="1">
      <alignment horizontal="center" vertical="center"/>
    </xf>
    <xf numFmtId="182" fontId="41" fillId="37" borderId="18" xfId="3" applyNumberFormat="1" applyFont="1" applyFill="1" applyBorder="1" applyAlignment="1">
      <alignment horizontal="center" vertical="center"/>
    </xf>
    <xf numFmtId="182" fontId="41" fillId="37" borderId="25" xfId="3" applyNumberFormat="1" applyFont="1" applyFill="1" applyBorder="1" applyAlignment="1">
      <alignment horizontal="center" vertical="center"/>
    </xf>
    <xf numFmtId="169" fontId="41" fillId="39" borderId="4" xfId="3" applyNumberFormat="1" applyFont="1" applyFill="1" applyBorder="1" applyAlignment="1">
      <alignment horizontal="center" vertical="center"/>
    </xf>
    <xf numFmtId="169" fontId="41" fillId="39" borderId="2" xfId="3" applyNumberFormat="1" applyFont="1" applyFill="1" applyBorder="1" applyAlignment="1">
      <alignment horizontal="center" vertical="center"/>
    </xf>
    <xf numFmtId="169" fontId="41" fillId="39" borderId="25" xfId="3" applyNumberFormat="1" applyFont="1" applyFill="1" applyBorder="1" applyAlignment="1">
      <alignment horizontal="center" vertical="center"/>
    </xf>
    <xf numFmtId="17" fontId="31" fillId="0" borderId="25" xfId="3" applyNumberFormat="1" applyFont="1" applyFill="1" applyBorder="1" applyAlignment="1">
      <alignment horizontal="justify" vertical="center" wrapText="1"/>
    </xf>
    <xf numFmtId="17" fontId="41" fillId="0" borderId="35" xfId="3" applyNumberFormat="1" applyFont="1" applyFill="1" applyBorder="1" applyAlignment="1">
      <alignment horizontal="center" vertical="center" wrapText="1"/>
    </xf>
    <xf numFmtId="172" fontId="41" fillId="5" borderId="33" xfId="9" applyNumberFormat="1" applyFont="1" applyFill="1" applyBorder="1" applyAlignment="1">
      <alignment horizontal="center" vertical="center"/>
    </xf>
    <xf numFmtId="172" fontId="41" fillId="5" borderId="41" xfId="9" applyNumberFormat="1" applyFont="1" applyFill="1" applyBorder="1" applyAlignment="1">
      <alignment horizontal="center" vertical="center"/>
    </xf>
    <xf numFmtId="172" fontId="41" fillId="5" borderId="43" xfId="9" applyNumberFormat="1" applyFont="1" applyFill="1" applyBorder="1" applyAlignment="1">
      <alignment horizontal="center" vertical="center"/>
    </xf>
    <xf numFmtId="0" fontId="31" fillId="39" borderId="25" xfId="3" applyFont="1" applyFill="1" applyBorder="1" applyAlignment="1">
      <alignment horizontal="center" vertical="center"/>
    </xf>
    <xf numFmtId="0" fontId="27" fillId="33" borderId="18" xfId="3" applyFont="1" applyFill="1" applyBorder="1" applyAlignment="1">
      <alignment horizontal="center" vertical="center" wrapText="1"/>
    </xf>
    <xf numFmtId="0" fontId="31" fillId="33" borderId="18" xfId="3" applyFont="1" applyFill="1" applyBorder="1" applyAlignment="1">
      <alignment horizontal="center" vertical="center"/>
    </xf>
    <xf numFmtId="182" fontId="41" fillId="33" borderId="18" xfId="3" applyNumberFormat="1" applyFont="1" applyFill="1" applyBorder="1" applyAlignment="1">
      <alignment horizontal="center" vertical="center"/>
    </xf>
    <xf numFmtId="182" fontId="41" fillId="33" borderId="2" xfId="3" applyNumberFormat="1" applyFont="1" applyFill="1" applyBorder="1" applyAlignment="1">
      <alignment horizontal="center" vertical="center"/>
    </xf>
    <xf numFmtId="182" fontId="41" fillId="33" borderId="7" xfId="3" applyNumberFormat="1" applyFont="1" applyFill="1" applyBorder="1" applyAlignment="1">
      <alignment horizontal="center" vertical="center"/>
    </xf>
    <xf numFmtId="0" fontId="29" fillId="32" borderId="3" xfId="3" applyFont="1" applyFill="1" applyBorder="1" applyAlignment="1">
      <alignment horizontal="center" vertical="center" wrapText="1"/>
    </xf>
    <xf numFmtId="0" fontId="29" fillId="32" borderId="11" xfId="3" applyFont="1" applyFill="1" applyBorder="1" applyAlignment="1">
      <alignment horizontal="center" vertical="center" wrapText="1"/>
    </xf>
    <xf numFmtId="0" fontId="29" fillId="32" borderId="19" xfId="3" applyFont="1" applyFill="1" applyBorder="1" applyAlignment="1">
      <alignment horizontal="center" vertical="center" wrapText="1"/>
    </xf>
    <xf numFmtId="164" fontId="41" fillId="0" borderId="33" xfId="325" applyFont="1" applyFill="1" applyBorder="1" applyAlignment="1">
      <alignment horizontal="center" vertical="center"/>
    </xf>
    <xf numFmtId="164" fontId="41" fillId="0" borderId="41" xfId="325" applyFont="1" applyFill="1" applyBorder="1" applyAlignment="1">
      <alignment horizontal="center" vertical="center"/>
    </xf>
    <xf numFmtId="164" fontId="41" fillId="0" borderId="43" xfId="325" applyFont="1" applyFill="1" applyBorder="1" applyAlignment="1">
      <alignment horizontal="center" vertical="center"/>
    </xf>
    <xf numFmtId="0" fontId="33" fillId="0" borderId="3" xfId="3" applyFont="1" applyFill="1" applyBorder="1" applyAlignment="1">
      <alignment horizontal="center" vertical="center" wrapText="1"/>
    </xf>
    <xf numFmtId="0" fontId="33" fillId="0" borderId="11" xfId="3" applyFont="1" applyFill="1" applyBorder="1" applyAlignment="1">
      <alignment horizontal="center" vertical="center" wrapText="1"/>
    </xf>
    <xf numFmtId="0" fontId="33" fillId="0" borderId="19" xfId="3" applyFont="1" applyFill="1" applyBorder="1" applyAlignment="1">
      <alignment horizontal="center" vertical="center" wrapText="1"/>
    </xf>
    <xf numFmtId="0" fontId="31" fillId="0" borderId="4"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31" fillId="0" borderId="25" xfId="3" applyFont="1" applyFill="1" applyBorder="1" applyAlignment="1">
      <alignment horizontal="center" vertical="center" wrapText="1"/>
    </xf>
    <xf numFmtId="2" fontId="41" fillId="0" borderId="24" xfId="3" applyNumberFormat="1" applyFont="1" applyFill="1" applyBorder="1" applyAlignment="1">
      <alignment horizontal="center" vertical="center"/>
    </xf>
    <xf numFmtId="2" fontId="41" fillId="0" borderId="18" xfId="3" applyNumberFormat="1" applyFont="1" applyFill="1" applyBorder="1" applyAlignment="1">
      <alignment horizontal="center" vertical="center"/>
    </xf>
    <xf numFmtId="14" fontId="26" fillId="0" borderId="35" xfId="0" applyNumberFormat="1" applyFont="1" applyFill="1" applyBorder="1" applyAlignment="1">
      <alignment horizontal="center" vertical="center" wrapText="1"/>
    </xf>
    <xf numFmtId="14" fontId="26" fillId="0" borderId="24" xfId="0" applyNumberFormat="1" applyFont="1" applyFill="1" applyBorder="1" applyAlignment="1">
      <alignment horizontal="center" vertical="center" wrapText="1"/>
    </xf>
    <xf numFmtId="14" fontId="26" fillId="0" borderId="69" xfId="0" applyNumberFormat="1" applyFont="1" applyFill="1" applyBorder="1" applyAlignment="1">
      <alignment horizontal="center" vertical="center" wrapText="1"/>
    </xf>
    <xf numFmtId="14" fontId="41" fillId="0" borderId="3" xfId="3" applyNumberFormat="1" applyFont="1" applyFill="1" applyBorder="1" applyAlignment="1">
      <alignment horizontal="center" vertical="center"/>
    </xf>
    <xf numFmtId="0" fontId="37" fillId="0" borderId="0" xfId="3" applyFont="1" applyFill="1" applyAlignment="1">
      <alignment horizontal="center"/>
    </xf>
    <xf numFmtId="0" fontId="38" fillId="5" borderId="0" xfId="3" applyFont="1" applyFill="1" applyAlignment="1">
      <alignment horizontal="center"/>
    </xf>
    <xf numFmtId="0" fontId="29" fillId="0" borderId="7" xfId="3" applyFont="1" applyFill="1" applyBorder="1" applyAlignment="1">
      <alignment horizontal="center" vertical="center" wrapText="1"/>
    </xf>
    <xf numFmtId="182" fontId="41" fillId="0" borderId="4" xfId="3" applyNumberFormat="1" applyFont="1" applyFill="1" applyBorder="1" applyAlignment="1">
      <alignment horizontal="center" vertical="center"/>
    </xf>
    <xf numFmtId="182" fontId="41" fillId="0" borderId="2" xfId="3" applyNumberFormat="1" applyFont="1" applyFill="1" applyBorder="1" applyAlignment="1">
      <alignment horizontal="center" vertical="center"/>
    </xf>
    <xf numFmtId="182" fontId="41" fillId="0" borderId="25" xfId="3" applyNumberFormat="1" applyFont="1" applyFill="1" applyBorder="1" applyAlignment="1">
      <alignment horizontal="center" vertical="center"/>
    </xf>
    <xf numFmtId="0" fontId="27" fillId="39" borderId="7" xfId="3" applyFont="1" applyFill="1" applyBorder="1" applyAlignment="1">
      <alignment horizontal="center" vertical="center" wrapText="1"/>
    </xf>
    <xf numFmtId="169" fontId="41" fillId="39" borderId="7" xfId="3" applyNumberFormat="1" applyFont="1" applyFill="1" applyBorder="1" applyAlignment="1">
      <alignment horizontal="center" vertical="center"/>
    </xf>
    <xf numFmtId="14" fontId="41" fillId="0" borderId="33" xfId="3" applyNumberFormat="1" applyFont="1" applyFill="1" applyBorder="1" applyAlignment="1">
      <alignment horizontal="center"/>
    </xf>
    <xf numFmtId="14" fontId="41" fillId="0" borderId="41" xfId="3" applyNumberFormat="1" applyFont="1" applyFill="1" applyBorder="1" applyAlignment="1">
      <alignment horizontal="center"/>
    </xf>
    <xf numFmtId="14" fontId="41" fillId="0" borderId="43" xfId="3" applyNumberFormat="1" applyFont="1" applyFill="1" applyBorder="1" applyAlignment="1">
      <alignment horizontal="center"/>
    </xf>
    <xf numFmtId="168" fontId="41" fillId="0" borderId="4" xfId="9" applyFont="1" applyFill="1" applyBorder="1" applyAlignment="1">
      <alignment horizontal="center" vertical="center"/>
    </xf>
    <xf numFmtId="168" fontId="41" fillId="0" borderId="2" xfId="9" applyFont="1" applyFill="1" applyBorder="1" applyAlignment="1">
      <alignment horizontal="center" vertical="center"/>
    </xf>
    <xf numFmtId="168" fontId="41" fillId="0" borderId="25" xfId="9" applyFont="1" applyFill="1" applyBorder="1" applyAlignment="1">
      <alignment horizontal="center" vertical="center"/>
    </xf>
    <xf numFmtId="14" fontId="41" fillId="0" borderId="8" xfId="3" applyNumberFormat="1" applyFont="1" applyFill="1" applyBorder="1" applyAlignment="1">
      <alignment horizontal="center" vertical="center"/>
    </xf>
    <xf numFmtId="14" fontId="41" fillId="0" borderId="12" xfId="3" applyNumberFormat="1" applyFont="1" applyFill="1" applyBorder="1" applyAlignment="1">
      <alignment horizontal="center" vertical="center"/>
    </xf>
    <xf numFmtId="0" fontId="41" fillId="0" borderId="3" xfId="3" applyFont="1" applyFill="1" applyBorder="1" applyAlignment="1">
      <alignment horizontal="center" vertical="center"/>
    </xf>
    <xf numFmtId="0" fontId="41" fillId="0" borderId="11" xfId="3" applyFont="1" applyFill="1" applyBorder="1" applyAlignment="1">
      <alignment horizontal="center" vertical="center"/>
    </xf>
    <xf numFmtId="0" fontId="41" fillId="0" borderId="19" xfId="3" applyFont="1" applyFill="1" applyBorder="1" applyAlignment="1">
      <alignment horizontal="center" vertical="center"/>
    </xf>
    <xf numFmtId="169" fontId="41" fillId="0" borderId="12" xfId="3" applyNumberFormat="1" applyFont="1" applyFill="1" applyBorder="1" applyAlignment="1">
      <alignment horizontal="center" vertical="center"/>
    </xf>
    <xf numFmtId="0" fontId="41" fillId="0" borderId="12" xfId="3" applyFont="1" applyFill="1" applyBorder="1" applyAlignment="1">
      <alignment horizontal="center" vertical="center"/>
    </xf>
    <xf numFmtId="169" fontId="41" fillId="0" borderId="42" xfId="3" applyNumberFormat="1" applyFont="1" applyFill="1" applyBorder="1" applyAlignment="1">
      <alignment horizontal="center" vertical="center"/>
    </xf>
    <xf numFmtId="169" fontId="41" fillId="23" borderId="4" xfId="3" applyNumberFormat="1" applyFont="1" applyFill="1" applyBorder="1" applyAlignment="1">
      <alignment horizontal="center" vertical="center"/>
    </xf>
    <xf numFmtId="169" fontId="41" fillId="23" borderId="2" xfId="3" applyNumberFormat="1" applyFont="1" applyFill="1" applyBorder="1" applyAlignment="1">
      <alignment horizontal="center" vertical="center"/>
    </xf>
    <xf numFmtId="169" fontId="41" fillId="23" borderId="7" xfId="3" applyNumberFormat="1" applyFont="1" applyFill="1" applyBorder="1" applyAlignment="1">
      <alignment horizontal="center" vertical="center"/>
    </xf>
    <xf numFmtId="169" fontId="41" fillId="23" borderId="18" xfId="3" applyNumberFormat="1" applyFont="1" applyFill="1" applyBorder="1" applyAlignment="1">
      <alignment horizontal="center" vertical="center"/>
    </xf>
    <xf numFmtId="169" fontId="41" fillId="23" borderId="25" xfId="3" applyNumberFormat="1" applyFont="1" applyFill="1" applyBorder="1" applyAlignment="1">
      <alignment horizontal="center" vertical="center"/>
    </xf>
    <xf numFmtId="17" fontId="41" fillId="23" borderId="18" xfId="3" applyNumberFormat="1" applyFont="1" applyFill="1" applyBorder="1" applyAlignment="1">
      <alignment horizontal="justify" vertical="center" wrapText="1"/>
    </xf>
    <xf numFmtId="17" fontId="41" fillId="23" borderId="25" xfId="3" applyNumberFormat="1" applyFont="1" applyFill="1" applyBorder="1" applyAlignment="1">
      <alignment horizontal="justify" vertical="center" wrapText="1"/>
    </xf>
    <xf numFmtId="0" fontId="33" fillId="37" borderId="3" xfId="3" applyFont="1" applyFill="1" applyBorder="1" applyAlignment="1">
      <alignment horizontal="center" vertical="center"/>
    </xf>
    <xf numFmtId="0" fontId="33" fillId="37" borderId="11" xfId="3" applyFont="1" applyFill="1" applyBorder="1" applyAlignment="1">
      <alignment horizontal="center" vertical="center"/>
    </xf>
    <xf numFmtId="0" fontId="33" fillId="37" borderId="12" xfId="3" applyFont="1" applyFill="1" applyBorder="1" applyAlignment="1">
      <alignment horizontal="center" vertical="center"/>
    </xf>
    <xf numFmtId="0" fontId="27" fillId="0" borderId="3" xfId="3" applyFont="1" applyFill="1" applyBorder="1" applyAlignment="1">
      <alignment horizontal="center" vertical="center" wrapText="1"/>
    </xf>
    <xf numFmtId="0" fontId="27" fillId="0" borderId="11" xfId="3" applyFont="1" applyFill="1" applyBorder="1" applyAlignment="1">
      <alignment horizontal="center" vertical="center" wrapText="1"/>
    </xf>
    <xf numFmtId="0" fontId="27" fillId="0" borderId="12" xfId="3" applyFont="1" applyFill="1" applyBorder="1" applyAlignment="1">
      <alignment horizontal="center" vertical="center" wrapText="1"/>
    </xf>
    <xf numFmtId="182" fontId="80" fillId="0" borderId="4" xfId="3" applyNumberFormat="1" applyFont="1" applyFill="1" applyBorder="1" applyAlignment="1">
      <alignment horizontal="center" vertical="center"/>
    </xf>
    <xf numFmtId="182" fontId="80" fillId="0" borderId="2" xfId="3" applyNumberFormat="1" applyFont="1" applyFill="1" applyBorder="1" applyAlignment="1">
      <alignment horizontal="center" vertical="center"/>
    </xf>
    <xf numFmtId="182" fontId="80" fillId="0" borderId="25" xfId="3" applyNumberFormat="1" applyFont="1" applyFill="1" applyBorder="1" applyAlignment="1">
      <alignment horizontal="center" vertical="center"/>
    </xf>
    <xf numFmtId="0" fontId="41" fillId="0" borderId="42" xfId="3" applyFont="1" applyFill="1" applyBorder="1" applyAlignment="1">
      <alignment horizontal="center" vertical="center"/>
    </xf>
    <xf numFmtId="168" fontId="41" fillId="0" borderId="33" xfId="9" applyFont="1" applyFill="1" applyBorder="1" applyAlignment="1">
      <alignment horizontal="center" vertical="center"/>
    </xf>
    <xf numFmtId="168" fontId="41" fillId="0" borderId="41" xfId="9" applyFont="1" applyFill="1" applyBorder="1" applyAlignment="1">
      <alignment horizontal="center" vertical="center"/>
    </xf>
    <xf numFmtId="168" fontId="41" fillId="0" borderId="43" xfId="9" applyFont="1" applyFill="1" applyBorder="1" applyAlignment="1">
      <alignment horizontal="center" vertical="center"/>
    </xf>
    <xf numFmtId="169" fontId="28" fillId="0" borderId="0" xfId="3" applyNumberFormat="1" applyFont="1" applyFill="1" applyBorder="1" applyAlignment="1">
      <alignment horizontal="center" vertical="center"/>
    </xf>
    <xf numFmtId="10" fontId="60" fillId="0" borderId="0" xfId="10" applyNumberFormat="1" applyFont="1" applyFill="1" applyBorder="1" applyAlignment="1">
      <alignment horizontal="center" vertical="center"/>
    </xf>
    <xf numFmtId="0" fontId="31" fillId="0" borderId="0" xfId="3" applyFont="1" applyFill="1" applyBorder="1" applyAlignment="1">
      <alignment horizontal="center" vertical="center"/>
    </xf>
    <xf numFmtId="169" fontId="33" fillId="0" borderId="0" xfId="3" applyNumberFormat="1" applyFont="1" applyFill="1" applyBorder="1" applyAlignment="1">
      <alignment horizontal="center" vertical="center"/>
    </xf>
    <xf numFmtId="17" fontId="41" fillId="0" borderId="18" xfId="3" applyNumberFormat="1" applyFont="1" applyFill="1" applyBorder="1" applyAlignment="1">
      <alignment horizontal="center" vertical="center" wrapText="1"/>
    </xf>
    <xf numFmtId="17" fontId="41" fillId="0" borderId="2" xfId="3" applyNumberFormat="1" applyFont="1" applyFill="1" applyBorder="1" applyAlignment="1">
      <alignment horizontal="center" vertical="center" wrapText="1"/>
    </xf>
    <xf numFmtId="17" fontId="41" fillId="0" borderId="25" xfId="3" applyNumberFormat="1" applyFont="1" applyFill="1" applyBorder="1" applyAlignment="1">
      <alignment horizontal="center" vertical="center" wrapText="1"/>
    </xf>
    <xf numFmtId="0" fontId="41" fillId="0" borderId="18" xfId="3" applyFont="1" applyFill="1" applyBorder="1" applyAlignment="1">
      <alignment horizontal="center" vertical="center"/>
    </xf>
    <xf numFmtId="0" fontId="41" fillId="0" borderId="2" xfId="3" applyFont="1" applyFill="1" applyBorder="1" applyAlignment="1">
      <alignment horizontal="center" vertical="center"/>
    </xf>
    <xf numFmtId="2" fontId="41" fillId="0" borderId="14" xfId="3" applyNumberFormat="1" applyFont="1" applyFill="1" applyBorder="1" applyAlignment="1">
      <alignment horizontal="center" vertical="center"/>
    </xf>
    <xf numFmtId="0" fontId="41" fillId="0" borderId="44" xfId="3" applyNumberFormat="1" applyFont="1" applyFill="1" applyBorder="1" applyAlignment="1">
      <alignment horizontal="center" vertical="center"/>
    </xf>
    <xf numFmtId="0" fontId="41" fillId="0" borderId="38" xfId="3" applyNumberFormat="1" applyFont="1" applyFill="1" applyBorder="1" applyAlignment="1">
      <alignment horizontal="center" vertical="center"/>
    </xf>
    <xf numFmtId="0" fontId="41" fillId="0" borderId="46" xfId="3" applyNumberFormat="1" applyFont="1" applyFill="1" applyBorder="1" applyAlignment="1">
      <alignment horizontal="center" vertical="center"/>
    </xf>
    <xf numFmtId="0" fontId="41" fillId="0" borderId="5" xfId="3" applyNumberFormat="1" applyFont="1" applyFill="1" applyBorder="1" applyAlignment="1">
      <alignment horizontal="center" vertical="center"/>
    </xf>
    <xf numFmtId="0" fontId="41" fillId="0" borderId="6" xfId="3" applyNumberFormat="1" applyFont="1" applyFill="1" applyBorder="1" applyAlignment="1">
      <alignment horizontal="center" vertical="center"/>
    </xf>
    <xf numFmtId="0" fontId="41" fillId="0" borderId="8" xfId="3" applyNumberFormat="1" applyFont="1" applyFill="1" applyBorder="1" applyAlignment="1">
      <alignment horizontal="center" vertical="center"/>
    </xf>
    <xf numFmtId="0" fontId="41" fillId="0" borderId="10" xfId="3" applyNumberFormat="1" applyFont="1" applyFill="1" applyBorder="1" applyAlignment="1">
      <alignment horizontal="center" vertical="center"/>
    </xf>
    <xf numFmtId="0" fontId="41" fillId="0" borderId="51" xfId="3" applyNumberFormat="1" applyFont="1" applyFill="1" applyBorder="1" applyAlignment="1">
      <alignment horizontal="center" vertical="center"/>
    </xf>
    <xf numFmtId="0" fontId="41" fillId="0" borderId="54" xfId="3" applyNumberFormat="1" applyFont="1" applyFill="1" applyBorder="1" applyAlignment="1">
      <alignment horizontal="center" vertical="center"/>
    </xf>
    <xf numFmtId="0" fontId="33" fillId="37" borderId="61" xfId="3" applyFont="1" applyFill="1" applyBorder="1" applyAlignment="1">
      <alignment horizontal="center" vertical="justify"/>
    </xf>
    <xf numFmtId="0" fontId="33" fillId="37" borderId="20" xfId="3" applyFont="1" applyFill="1" applyBorder="1" applyAlignment="1">
      <alignment horizontal="center" vertical="justify"/>
    </xf>
    <xf numFmtId="0" fontId="33" fillId="37" borderId="21" xfId="3" applyFont="1" applyFill="1" applyBorder="1" applyAlignment="1">
      <alignment horizontal="center" vertical="justify"/>
    </xf>
    <xf numFmtId="0" fontId="12" fillId="0" borderId="0" xfId="0" applyFont="1" applyAlignment="1">
      <alignment horizontal="center"/>
    </xf>
    <xf numFmtId="0" fontId="12" fillId="3" borderId="2" xfId="0" applyFont="1" applyFill="1" applyBorder="1" applyAlignment="1">
      <alignment horizontal="center"/>
    </xf>
    <xf numFmtId="0" fontId="12" fillId="20" borderId="58" xfId="0" applyFont="1" applyFill="1" applyBorder="1" applyAlignment="1">
      <alignment horizontal="center"/>
    </xf>
    <xf numFmtId="0" fontId="12" fillId="20" borderId="59" xfId="0" applyFont="1" applyFill="1" applyBorder="1" applyAlignment="1">
      <alignment horizontal="center"/>
    </xf>
    <xf numFmtId="0" fontId="12" fillId="20" borderId="60" xfId="0" applyFont="1" applyFill="1" applyBorder="1" applyAlignment="1">
      <alignment horizontal="center"/>
    </xf>
    <xf numFmtId="172" fontId="86" fillId="0" borderId="0" xfId="3" applyNumberFormat="1" applyFont="1" applyFill="1"/>
    <xf numFmtId="172" fontId="37" fillId="6" borderId="15" xfId="7" applyNumberFormat="1" applyFont="1" applyFill="1" applyBorder="1" applyAlignment="1">
      <alignment horizontal="center"/>
    </xf>
    <xf numFmtId="0" fontId="37" fillId="3" borderId="15" xfId="3" applyFont="1" applyFill="1" applyBorder="1"/>
    <xf numFmtId="172" fontId="88" fillId="0" borderId="0" xfId="7" applyNumberFormat="1" applyFont="1" applyFill="1" applyBorder="1" applyAlignment="1">
      <alignment horizontal="center"/>
    </xf>
    <xf numFmtId="0" fontId="89" fillId="0" borderId="0" xfId="3" applyFont="1" applyFill="1" applyBorder="1"/>
    <xf numFmtId="172" fontId="84" fillId="0" borderId="0" xfId="9" applyNumberFormat="1" applyFont="1" applyFill="1" applyBorder="1"/>
    <xf numFmtId="167" fontId="90" fillId="0" borderId="0" xfId="12" applyFont="1" applyFill="1"/>
    <xf numFmtId="172" fontId="37" fillId="0" borderId="2" xfId="9" applyNumberFormat="1" applyFont="1" applyFill="1" applyBorder="1" applyAlignment="1">
      <alignment horizontal="center"/>
    </xf>
    <xf numFmtId="187" fontId="37" fillId="0" borderId="2" xfId="7" applyNumberFormat="1" applyFont="1" applyFill="1" applyBorder="1" applyAlignment="1">
      <alignment horizontal="center"/>
    </xf>
    <xf numFmtId="185" fontId="37" fillId="0" borderId="2" xfId="7" applyNumberFormat="1" applyFont="1" applyFill="1" applyBorder="1" applyAlignment="1">
      <alignment horizontal="center"/>
    </xf>
    <xf numFmtId="212" fontId="37" fillId="0" borderId="2" xfId="7" applyNumberFormat="1" applyFont="1" applyFill="1" applyBorder="1" applyAlignment="1">
      <alignment horizontal="center"/>
    </xf>
    <xf numFmtId="172" fontId="82" fillId="0" borderId="2" xfId="7" applyNumberFormat="1" applyFont="1" applyFill="1" applyBorder="1" applyAlignment="1">
      <alignment horizontal="center"/>
    </xf>
  </cellXfs>
  <cellStyles count="342">
    <cellStyle name="Comma0" xfId="16" xr:uid="{00000000-0005-0000-0000-000000000000}"/>
    <cellStyle name="Currency [0]_PAC1995" xfId="17" xr:uid="{00000000-0005-0000-0000-000001000000}"/>
    <cellStyle name="Currency_PAC1995" xfId="18" xr:uid="{00000000-0005-0000-0000-000002000000}"/>
    <cellStyle name="Euro" xfId="19" xr:uid="{00000000-0005-0000-0000-000003000000}"/>
    <cellStyle name="Euro 10" xfId="20" xr:uid="{00000000-0005-0000-0000-000004000000}"/>
    <cellStyle name="Euro 10 2" xfId="21" xr:uid="{00000000-0005-0000-0000-000005000000}"/>
    <cellStyle name="Euro 10 3" xfId="22" xr:uid="{00000000-0005-0000-0000-000006000000}"/>
    <cellStyle name="Euro 10 4" xfId="23" xr:uid="{00000000-0005-0000-0000-000007000000}"/>
    <cellStyle name="Euro 10 5" xfId="24" xr:uid="{00000000-0005-0000-0000-000008000000}"/>
    <cellStyle name="Euro 10 6" xfId="25" xr:uid="{00000000-0005-0000-0000-000009000000}"/>
    <cellStyle name="Euro 10 7" xfId="26" xr:uid="{00000000-0005-0000-0000-00000A000000}"/>
    <cellStyle name="Euro 11" xfId="27" xr:uid="{00000000-0005-0000-0000-00000B000000}"/>
    <cellStyle name="Euro 11 2" xfId="28" xr:uid="{00000000-0005-0000-0000-00000C000000}"/>
    <cellStyle name="Euro 11 3" xfId="29" xr:uid="{00000000-0005-0000-0000-00000D000000}"/>
    <cellStyle name="Euro 11 4" xfId="30" xr:uid="{00000000-0005-0000-0000-00000E000000}"/>
    <cellStyle name="Euro 11 5" xfId="31" xr:uid="{00000000-0005-0000-0000-00000F000000}"/>
    <cellStyle name="Euro 11 6" xfId="32" xr:uid="{00000000-0005-0000-0000-000010000000}"/>
    <cellStyle name="Euro 11 7" xfId="33" xr:uid="{00000000-0005-0000-0000-000011000000}"/>
    <cellStyle name="Euro 12" xfId="34" xr:uid="{00000000-0005-0000-0000-000012000000}"/>
    <cellStyle name="Euro 12 2" xfId="35" xr:uid="{00000000-0005-0000-0000-000013000000}"/>
    <cellStyle name="Euro 12 3" xfId="36" xr:uid="{00000000-0005-0000-0000-000014000000}"/>
    <cellStyle name="Euro 12 4" xfId="37" xr:uid="{00000000-0005-0000-0000-000015000000}"/>
    <cellStyle name="Euro 12 5" xfId="38" xr:uid="{00000000-0005-0000-0000-000016000000}"/>
    <cellStyle name="Euro 12 6" xfId="39" xr:uid="{00000000-0005-0000-0000-000017000000}"/>
    <cellStyle name="Euro 12 7" xfId="40" xr:uid="{00000000-0005-0000-0000-000018000000}"/>
    <cellStyle name="Euro 13" xfId="41" xr:uid="{00000000-0005-0000-0000-000019000000}"/>
    <cellStyle name="Euro 13 2" xfId="42" xr:uid="{00000000-0005-0000-0000-00001A000000}"/>
    <cellStyle name="Euro 13 3" xfId="43" xr:uid="{00000000-0005-0000-0000-00001B000000}"/>
    <cellStyle name="Euro 13 4" xfId="44" xr:uid="{00000000-0005-0000-0000-00001C000000}"/>
    <cellStyle name="Euro 13 5" xfId="45" xr:uid="{00000000-0005-0000-0000-00001D000000}"/>
    <cellStyle name="Euro 13 6" xfId="46" xr:uid="{00000000-0005-0000-0000-00001E000000}"/>
    <cellStyle name="Euro 13 7" xfId="47" xr:uid="{00000000-0005-0000-0000-00001F000000}"/>
    <cellStyle name="Euro 14" xfId="48" xr:uid="{00000000-0005-0000-0000-000020000000}"/>
    <cellStyle name="Euro 14 2" xfId="49" xr:uid="{00000000-0005-0000-0000-000021000000}"/>
    <cellStyle name="Euro 14 3" xfId="50" xr:uid="{00000000-0005-0000-0000-000022000000}"/>
    <cellStyle name="Euro 14 4" xfId="51" xr:uid="{00000000-0005-0000-0000-000023000000}"/>
    <cellStyle name="Euro 14 5" xfId="52" xr:uid="{00000000-0005-0000-0000-000024000000}"/>
    <cellStyle name="Euro 14 6" xfId="53" xr:uid="{00000000-0005-0000-0000-000025000000}"/>
    <cellStyle name="Euro 14 7" xfId="54" xr:uid="{00000000-0005-0000-0000-000026000000}"/>
    <cellStyle name="Euro 2" xfId="55" xr:uid="{00000000-0005-0000-0000-000027000000}"/>
    <cellStyle name="Euro 3" xfId="56" xr:uid="{00000000-0005-0000-0000-000028000000}"/>
    <cellStyle name="Euro 4" xfId="57" xr:uid="{00000000-0005-0000-0000-000029000000}"/>
    <cellStyle name="Euro 5" xfId="58" xr:uid="{00000000-0005-0000-0000-00002A000000}"/>
    <cellStyle name="Euro 6" xfId="59" xr:uid="{00000000-0005-0000-0000-00002B000000}"/>
    <cellStyle name="Euro 6 2" xfId="60" xr:uid="{00000000-0005-0000-0000-00002C000000}"/>
    <cellStyle name="Euro 6 3" xfId="61" xr:uid="{00000000-0005-0000-0000-00002D000000}"/>
    <cellStyle name="Euro 6 4" xfId="62" xr:uid="{00000000-0005-0000-0000-00002E000000}"/>
    <cellStyle name="Euro 6 5" xfId="63" xr:uid="{00000000-0005-0000-0000-00002F000000}"/>
    <cellStyle name="Euro 6 6" xfId="64" xr:uid="{00000000-0005-0000-0000-000030000000}"/>
    <cellStyle name="Euro 6 7" xfId="65" xr:uid="{00000000-0005-0000-0000-000031000000}"/>
    <cellStyle name="Euro 7" xfId="66" xr:uid="{00000000-0005-0000-0000-000032000000}"/>
    <cellStyle name="Euro 7 2" xfId="67" xr:uid="{00000000-0005-0000-0000-000033000000}"/>
    <cellStyle name="Euro 7 3" xfId="68" xr:uid="{00000000-0005-0000-0000-000034000000}"/>
    <cellStyle name="Euro 7 4" xfId="69" xr:uid="{00000000-0005-0000-0000-000035000000}"/>
    <cellStyle name="Euro 7 5" xfId="70" xr:uid="{00000000-0005-0000-0000-000036000000}"/>
    <cellStyle name="Euro 7 6" xfId="71" xr:uid="{00000000-0005-0000-0000-000037000000}"/>
    <cellStyle name="Euro 7 7" xfId="72" xr:uid="{00000000-0005-0000-0000-000038000000}"/>
    <cellStyle name="Euro 8" xfId="73" xr:uid="{00000000-0005-0000-0000-000039000000}"/>
    <cellStyle name="Euro 8 2" xfId="74" xr:uid="{00000000-0005-0000-0000-00003A000000}"/>
    <cellStyle name="Euro 8 3" xfId="75" xr:uid="{00000000-0005-0000-0000-00003B000000}"/>
    <cellStyle name="Euro 8 4" xfId="76" xr:uid="{00000000-0005-0000-0000-00003C000000}"/>
    <cellStyle name="Euro 8 5" xfId="77" xr:uid="{00000000-0005-0000-0000-00003D000000}"/>
    <cellStyle name="Euro 8 6" xfId="78" xr:uid="{00000000-0005-0000-0000-00003E000000}"/>
    <cellStyle name="Euro 8 7" xfId="79" xr:uid="{00000000-0005-0000-0000-00003F000000}"/>
    <cellStyle name="Euro 9" xfId="80" xr:uid="{00000000-0005-0000-0000-000040000000}"/>
    <cellStyle name="Euro 9 2" xfId="81" xr:uid="{00000000-0005-0000-0000-000041000000}"/>
    <cellStyle name="Euro 9 3" xfId="82" xr:uid="{00000000-0005-0000-0000-000042000000}"/>
    <cellStyle name="Euro 9 4" xfId="83" xr:uid="{00000000-0005-0000-0000-000043000000}"/>
    <cellStyle name="Euro 9 5" xfId="84" xr:uid="{00000000-0005-0000-0000-000044000000}"/>
    <cellStyle name="Euro 9 6" xfId="85" xr:uid="{00000000-0005-0000-0000-000045000000}"/>
    <cellStyle name="Euro 9 7" xfId="86" xr:uid="{00000000-0005-0000-0000-000046000000}"/>
    <cellStyle name="Hipervínculo" xfId="1" builtinId="8"/>
    <cellStyle name="Millares" xfId="9" builtinId="3"/>
    <cellStyle name="Millares [0]" xfId="325" builtinId="6"/>
    <cellStyle name="Millares [0] 2" xfId="327" xr:uid="{00000000-0005-0000-0000-00004A000000}"/>
    <cellStyle name="Millares [0] 3" xfId="330" xr:uid="{00000000-0005-0000-0000-00004B000000}"/>
    <cellStyle name="Millares [0] 4" xfId="336" xr:uid="{00000000-0005-0000-0000-00004C000000}"/>
    <cellStyle name="Millares [0] 5" xfId="338" xr:uid="{00000000-0005-0000-0000-00004D000000}"/>
    <cellStyle name="Millares [0] 6" xfId="340" xr:uid="{00000000-0005-0000-0000-00004E000000}"/>
    <cellStyle name="Millares 10" xfId="332" xr:uid="{00000000-0005-0000-0000-00004F000000}"/>
    <cellStyle name="Millares 11" xfId="333" xr:uid="{00000000-0005-0000-0000-000050000000}"/>
    <cellStyle name="Millares 12" xfId="334" xr:uid="{00000000-0005-0000-0000-000051000000}"/>
    <cellStyle name="Millares 14" xfId="87" xr:uid="{00000000-0005-0000-0000-000052000000}"/>
    <cellStyle name="Millares 14 2" xfId="88" xr:uid="{00000000-0005-0000-0000-000053000000}"/>
    <cellStyle name="Millares 2" xfId="8" xr:uid="{00000000-0005-0000-0000-000054000000}"/>
    <cellStyle name="Millares 2 10" xfId="89" xr:uid="{00000000-0005-0000-0000-000055000000}"/>
    <cellStyle name="Millares 2 11" xfId="90" xr:uid="{00000000-0005-0000-0000-000056000000}"/>
    <cellStyle name="Millares 2 12" xfId="91" xr:uid="{00000000-0005-0000-0000-000057000000}"/>
    <cellStyle name="Millares 2 13" xfId="92" xr:uid="{00000000-0005-0000-0000-000058000000}"/>
    <cellStyle name="Millares 2 14" xfId="93" xr:uid="{00000000-0005-0000-0000-000059000000}"/>
    <cellStyle name="Millares 2 15" xfId="94" xr:uid="{00000000-0005-0000-0000-00005A000000}"/>
    <cellStyle name="Millares 2 16" xfId="95" xr:uid="{00000000-0005-0000-0000-00005B000000}"/>
    <cellStyle name="Millares 2 17" xfId="96" xr:uid="{00000000-0005-0000-0000-00005C000000}"/>
    <cellStyle name="Millares 2 18" xfId="97" xr:uid="{00000000-0005-0000-0000-00005D000000}"/>
    <cellStyle name="Millares 2 19" xfId="98" xr:uid="{00000000-0005-0000-0000-00005E000000}"/>
    <cellStyle name="Millares 2 2" xfId="99" xr:uid="{00000000-0005-0000-0000-00005F000000}"/>
    <cellStyle name="Millares 2 3" xfId="100" xr:uid="{00000000-0005-0000-0000-000060000000}"/>
    <cellStyle name="Millares 2 4" xfId="101" xr:uid="{00000000-0005-0000-0000-000061000000}"/>
    <cellStyle name="Millares 2 5" xfId="102" xr:uid="{00000000-0005-0000-0000-000062000000}"/>
    <cellStyle name="Millares 2 6" xfId="103" xr:uid="{00000000-0005-0000-0000-000063000000}"/>
    <cellStyle name="Millares 2 7" xfId="104" xr:uid="{00000000-0005-0000-0000-000064000000}"/>
    <cellStyle name="Millares 2 8" xfId="105" xr:uid="{00000000-0005-0000-0000-000065000000}"/>
    <cellStyle name="Millares 2 9" xfId="106" xr:uid="{00000000-0005-0000-0000-000066000000}"/>
    <cellStyle name="Millares 3" xfId="14" xr:uid="{00000000-0005-0000-0000-000067000000}"/>
    <cellStyle name="Millares 3 10" xfId="107" xr:uid="{00000000-0005-0000-0000-000068000000}"/>
    <cellStyle name="Millares 3 11" xfId="108" xr:uid="{00000000-0005-0000-0000-000069000000}"/>
    <cellStyle name="Millares 3 12" xfId="109" xr:uid="{00000000-0005-0000-0000-00006A000000}"/>
    <cellStyle name="Millares 3 13" xfId="110" xr:uid="{00000000-0005-0000-0000-00006B000000}"/>
    <cellStyle name="Millares 3 14" xfId="111" xr:uid="{00000000-0005-0000-0000-00006C000000}"/>
    <cellStyle name="Millares 3 15" xfId="112" xr:uid="{00000000-0005-0000-0000-00006D000000}"/>
    <cellStyle name="Millares 3 16" xfId="113" xr:uid="{00000000-0005-0000-0000-00006E000000}"/>
    <cellStyle name="Millares 3 17" xfId="114" xr:uid="{00000000-0005-0000-0000-00006F000000}"/>
    <cellStyle name="Millares 3 18" xfId="115" xr:uid="{00000000-0005-0000-0000-000070000000}"/>
    <cellStyle name="Millares 3 19" xfId="116" xr:uid="{00000000-0005-0000-0000-000071000000}"/>
    <cellStyle name="Millares 3 2" xfId="117" xr:uid="{00000000-0005-0000-0000-000072000000}"/>
    <cellStyle name="Millares 3 3" xfId="118" xr:uid="{00000000-0005-0000-0000-000073000000}"/>
    <cellStyle name="Millares 3 4" xfId="119" xr:uid="{00000000-0005-0000-0000-000074000000}"/>
    <cellStyle name="Millares 3 5" xfId="120" xr:uid="{00000000-0005-0000-0000-000075000000}"/>
    <cellStyle name="Millares 3 6" xfId="121" xr:uid="{00000000-0005-0000-0000-000076000000}"/>
    <cellStyle name="Millares 3 7" xfId="122" xr:uid="{00000000-0005-0000-0000-000077000000}"/>
    <cellStyle name="Millares 3 8" xfId="123" xr:uid="{00000000-0005-0000-0000-000078000000}"/>
    <cellStyle name="Millares 3 9" xfId="124" xr:uid="{00000000-0005-0000-0000-000079000000}"/>
    <cellStyle name="Millares 4" xfId="125" xr:uid="{00000000-0005-0000-0000-00007A000000}"/>
    <cellStyle name="Millares 4 2" xfId="126" xr:uid="{00000000-0005-0000-0000-00007B000000}"/>
    <cellStyle name="Millares 4 3" xfId="127" xr:uid="{00000000-0005-0000-0000-00007C000000}"/>
    <cellStyle name="Millares 4 4" xfId="128" xr:uid="{00000000-0005-0000-0000-00007D000000}"/>
    <cellStyle name="Millares 4 5" xfId="129" xr:uid="{00000000-0005-0000-0000-00007E000000}"/>
    <cellStyle name="Millares 4 6" xfId="130" xr:uid="{00000000-0005-0000-0000-00007F000000}"/>
    <cellStyle name="Millares 4 7" xfId="131" xr:uid="{00000000-0005-0000-0000-000080000000}"/>
    <cellStyle name="Millares 5" xfId="132" xr:uid="{00000000-0005-0000-0000-000081000000}"/>
    <cellStyle name="Millares 6" xfId="318" xr:uid="{00000000-0005-0000-0000-000082000000}"/>
    <cellStyle name="Millares 7" xfId="324" xr:uid="{00000000-0005-0000-0000-000083000000}"/>
    <cellStyle name="Millares 8" xfId="329" xr:uid="{00000000-0005-0000-0000-000084000000}"/>
    <cellStyle name="Millares 9" xfId="331" xr:uid="{00000000-0005-0000-0000-000085000000}"/>
    <cellStyle name="Millares_POA Mayo15-08" xfId="7" xr:uid="{00000000-0005-0000-0000-000086000000}"/>
    <cellStyle name="Moneda" xfId="12" builtinId="4"/>
    <cellStyle name="Moneda 2" xfId="6" xr:uid="{00000000-0005-0000-0000-000088000000}"/>
    <cellStyle name="Moneda 2 2" xfId="323" xr:uid="{00000000-0005-0000-0000-000089000000}"/>
    <cellStyle name="Moneda 3" xfId="15" xr:uid="{00000000-0005-0000-0000-00008A000000}"/>
    <cellStyle name="Moneda 3 2" xfId="133" xr:uid="{00000000-0005-0000-0000-00008B000000}"/>
    <cellStyle name="Moneda 3 3" xfId="322" xr:uid="{00000000-0005-0000-0000-00008C000000}"/>
    <cellStyle name="Moneda 4" xfId="134" xr:uid="{00000000-0005-0000-0000-00008D000000}"/>
    <cellStyle name="Neutral" xfId="2" builtinId="28" customBuiltin="1"/>
    <cellStyle name="Normal" xfId="0" builtinId="0"/>
    <cellStyle name="Normal 10" xfId="320" xr:uid="{00000000-0005-0000-0000-000090000000}"/>
    <cellStyle name="Normal 11" xfId="326" xr:uid="{00000000-0005-0000-0000-000091000000}"/>
    <cellStyle name="Normal 12" xfId="328" xr:uid="{00000000-0005-0000-0000-000092000000}"/>
    <cellStyle name="Normal 13" xfId="335" xr:uid="{00000000-0005-0000-0000-000093000000}"/>
    <cellStyle name="Normal 14" xfId="337" xr:uid="{00000000-0005-0000-0000-000094000000}"/>
    <cellStyle name="Normal 15" xfId="339" xr:uid="{00000000-0005-0000-0000-000095000000}"/>
    <cellStyle name="Normal 16" xfId="341" xr:uid="{00000000-0005-0000-0000-000096000000}"/>
    <cellStyle name="Normal 2" xfId="3" xr:uid="{00000000-0005-0000-0000-000097000000}"/>
    <cellStyle name="Normal 2 2" xfId="135" xr:uid="{00000000-0005-0000-0000-000098000000}"/>
    <cellStyle name="Normal 2_BARRANQUILLA" xfId="136" xr:uid="{00000000-0005-0000-0000-000099000000}"/>
    <cellStyle name="Normal 3" xfId="13" xr:uid="{00000000-0005-0000-0000-00009A000000}"/>
    <cellStyle name="Normal 3 10" xfId="137" xr:uid="{00000000-0005-0000-0000-00009B000000}"/>
    <cellStyle name="Normal 3 11" xfId="138" xr:uid="{00000000-0005-0000-0000-00009C000000}"/>
    <cellStyle name="Normal 3 12" xfId="139" xr:uid="{00000000-0005-0000-0000-00009D000000}"/>
    <cellStyle name="Normal 3 13" xfId="140" xr:uid="{00000000-0005-0000-0000-00009E000000}"/>
    <cellStyle name="Normal 3 14" xfId="141" xr:uid="{00000000-0005-0000-0000-00009F000000}"/>
    <cellStyle name="Normal 3 15" xfId="142" xr:uid="{00000000-0005-0000-0000-0000A0000000}"/>
    <cellStyle name="Normal 3 16" xfId="143" xr:uid="{00000000-0005-0000-0000-0000A1000000}"/>
    <cellStyle name="Normal 3 17" xfId="144" xr:uid="{00000000-0005-0000-0000-0000A2000000}"/>
    <cellStyle name="Normal 3 18" xfId="145" xr:uid="{00000000-0005-0000-0000-0000A3000000}"/>
    <cellStyle name="Normal 3 19" xfId="146" xr:uid="{00000000-0005-0000-0000-0000A4000000}"/>
    <cellStyle name="Normal 3 2" xfId="147" xr:uid="{00000000-0005-0000-0000-0000A5000000}"/>
    <cellStyle name="Normal 3 3" xfId="148" xr:uid="{00000000-0005-0000-0000-0000A6000000}"/>
    <cellStyle name="Normal 3 4" xfId="149" xr:uid="{00000000-0005-0000-0000-0000A7000000}"/>
    <cellStyle name="Normal 3 5" xfId="150" xr:uid="{00000000-0005-0000-0000-0000A8000000}"/>
    <cellStyle name="Normal 3 6" xfId="151" xr:uid="{00000000-0005-0000-0000-0000A9000000}"/>
    <cellStyle name="Normal 3 7" xfId="152" xr:uid="{00000000-0005-0000-0000-0000AA000000}"/>
    <cellStyle name="Normal 3 8" xfId="153" xr:uid="{00000000-0005-0000-0000-0000AB000000}"/>
    <cellStyle name="Normal 3 9" xfId="154" xr:uid="{00000000-0005-0000-0000-0000AC000000}"/>
    <cellStyle name="Normal 4" xfId="155" xr:uid="{00000000-0005-0000-0000-0000AD000000}"/>
    <cellStyle name="Normal 5" xfId="156" xr:uid="{00000000-0005-0000-0000-0000AE000000}"/>
    <cellStyle name="Normal 6" xfId="157" xr:uid="{00000000-0005-0000-0000-0000AF000000}"/>
    <cellStyle name="Normal 7" xfId="158" xr:uid="{00000000-0005-0000-0000-0000B0000000}"/>
    <cellStyle name="Normal 8" xfId="317" xr:uid="{00000000-0005-0000-0000-0000B1000000}"/>
    <cellStyle name="Normal 9" xfId="319" xr:uid="{00000000-0005-0000-0000-0000B2000000}"/>
    <cellStyle name="Normal_Proyecto Presupuesto Montería 2003copia" xfId="11" xr:uid="{00000000-0005-0000-0000-0000B3000000}"/>
    <cellStyle name="Porcentaje" xfId="10" builtinId="5"/>
    <cellStyle name="Porcentaje 2" xfId="5" xr:uid="{00000000-0005-0000-0000-0000B5000000}"/>
    <cellStyle name="Porcentaje 3" xfId="321" xr:uid="{00000000-0005-0000-0000-0000B6000000}"/>
    <cellStyle name="Porcentual 10" xfId="159" xr:uid="{00000000-0005-0000-0000-0000B7000000}"/>
    <cellStyle name="Porcentual 10 2" xfId="160" xr:uid="{00000000-0005-0000-0000-0000B8000000}"/>
    <cellStyle name="Porcentual 10 3" xfId="161" xr:uid="{00000000-0005-0000-0000-0000B9000000}"/>
    <cellStyle name="Porcentual 10 4" xfId="162" xr:uid="{00000000-0005-0000-0000-0000BA000000}"/>
    <cellStyle name="Porcentual 10 5" xfId="163" xr:uid="{00000000-0005-0000-0000-0000BB000000}"/>
    <cellStyle name="Porcentual 10 6" xfId="164" xr:uid="{00000000-0005-0000-0000-0000BC000000}"/>
    <cellStyle name="Porcentual 10 7" xfId="165" xr:uid="{00000000-0005-0000-0000-0000BD000000}"/>
    <cellStyle name="Porcentual 13" xfId="166" xr:uid="{00000000-0005-0000-0000-0000BE000000}"/>
    <cellStyle name="Porcentual 13 2" xfId="167" xr:uid="{00000000-0005-0000-0000-0000BF000000}"/>
    <cellStyle name="Porcentual 2" xfId="168" xr:uid="{00000000-0005-0000-0000-0000C0000000}"/>
    <cellStyle name="Porcentual 2 10" xfId="169" xr:uid="{00000000-0005-0000-0000-0000C1000000}"/>
    <cellStyle name="Porcentual 2 10 2" xfId="170" xr:uid="{00000000-0005-0000-0000-0000C2000000}"/>
    <cellStyle name="Porcentual 2 10 3" xfId="171" xr:uid="{00000000-0005-0000-0000-0000C3000000}"/>
    <cellStyle name="Porcentual 2 10 4" xfId="172" xr:uid="{00000000-0005-0000-0000-0000C4000000}"/>
    <cellStyle name="Porcentual 2 10 5" xfId="173" xr:uid="{00000000-0005-0000-0000-0000C5000000}"/>
    <cellStyle name="Porcentual 2 10 6" xfId="174" xr:uid="{00000000-0005-0000-0000-0000C6000000}"/>
    <cellStyle name="Porcentual 2 10 7" xfId="175" xr:uid="{00000000-0005-0000-0000-0000C7000000}"/>
    <cellStyle name="Porcentual 2 11" xfId="176" xr:uid="{00000000-0005-0000-0000-0000C8000000}"/>
    <cellStyle name="Porcentual 2 11 2" xfId="177" xr:uid="{00000000-0005-0000-0000-0000C9000000}"/>
    <cellStyle name="Porcentual 2 11 3" xfId="178" xr:uid="{00000000-0005-0000-0000-0000CA000000}"/>
    <cellStyle name="Porcentual 2 11 4" xfId="179" xr:uid="{00000000-0005-0000-0000-0000CB000000}"/>
    <cellStyle name="Porcentual 2 11 5" xfId="180" xr:uid="{00000000-0005-0000-0000-0000CC000000}"/>
    <cellStyle name="Porcentual 2 11 6" xfId="181" xr:uid="{00000000-0005-0000-0000-0000CD000000}"/>
    <cellStyle name="Porcentual 2 11 7" xfId="182" xr:uid="{00000000-0005-0000-0000-0000CE000000}"/>
    <cellStyle name="Porcentual 2 12" xfId="183" xr:uid="{00000000-0005-0000-0000-0000CF000000}"/>
    <cellStyle name="Porcentual 2 12 2" xfId="184" xr:uid="{00000000-0005-0000-0000-0000D0000000}"/>
    <cellStyle name="Porcentual 2 12 3" xfId="185" xr:uid="{00000000-0005-0000-0000-0000D1000000}"/>
    <cellStyle name="Porcentual 2 12 4" xfId="186" xr:uid="{00000000-0005-0000-0000-0000D2000000}"/>
    <cellStyle name="Porcentual 2 12 5" xfId="187" xr:uid="{00000000-0005-0000-0000-0000D3000000}"/>
    <cellStyle name="Porcentual 2 12 6" xfId="188" xr:uid="{00000000-0005-0000-0000-0000D4000000}"/>
    <cellStyle name="Porcentual 2 12 7" xfId="189" xr:uid="{00000000-0005-0000-0000-0000D5000000}"/>
    <cellStyle name="Porcentual 2 13" xfId="190" xr:uid="{00000000-0005-0000-0000-0000D6000000}"/>
    <cellStyle name="Porcentual 2 13 2" xfId="191" xr:uid="{00000000-0005-0000-0000-0000D7000000}"/>
    <cellStyle name="Porcentual 2 13 3" xfId="192" xr:uid="{00000000-0005-0000-0000-0000D8000000}"/>
    <cellStyle name="Porcentual 2 13 4" xfId="193" xr:uid="{00000000-0005-0000-0000-0000D9000000}"/>
    <cellStyle name="Porcentual 2 13 5" xfId="194" xr:uid="{00000000-0005-0000-0000-0000DA000000}"/>
    <cellStyle name="Porcentual 2 13 6" xfId="195" xr:uid="{00000000-0005-0000-0000-0000DB000000}"/>
    <cellStyle name="Porcentual 2 13 7" xfId="196" xr:uid="{00000000-0005-0000-0000-0000DC000000}"/>
    <cellStyle name="Porcentual 2 14" xfId="197" xr:uid="{00000000-0005-0000-0000-0000DD000000}"/>
    <cellStyle name="Porcentual 2 14 2" xfId="198" xr:uid="{00000000-0005-0000-0000-0000DE000000}"/>
    <cellStyle name="Porcentual 2 14 3" xfId="199" xr:uid="{00000000-0005-0000-0000-0000DF000000}"/>
    <cellStyle name="Porcentual 2 14 4" xfId="200" xr:uid="{00000000-0005-0000-0000-0000E0000000}"/>
    <cellStyle name="Porcentual 2 14 5" xfId="201" xr:uid="{00000000-0005-0000-0000-0000E1000000}"/>
    <cellStyle name="Porcentual 2 14 6" xfId="202" xr:uid="{00000000-0005-0000-0000-0000E2000000}"/>
    <cellStyle name="Porcentual 2 14 7" xfId="203" xr:uid="{00000000-0005-0000-0000-0000E3000000}"/>
    <cellStyle name="Porcentual 2 2" xfId="204" xr:uid="{00000000-0005-0000-0000-0000E4000000}"/>
    <cellStyle name="Porcentual 2 3" xfId="205" xr:uid="{00000000-0005-0000-0000-0000E5000000}"/>
    <cellStyle name="Porcentual 2 4" xfId="206" xr:uid="{00000000-0005-0000-0000-0000E6000000}"/>
    <cellStyle name="Porcentual 2 5" xfId="207" xr:uid="{00000000-0005-0000-0000-0000E7000000}"/>
    <cellStyle name="Porcentual 2 6" xfId="208" xr:uid="{00000000-0005-0000-0000-0000E8000000}"/>
    <cellStyle name="Porcentual 2 6 2" xfId="209" xr:uid="{00000000-0005-0000-0000-0000E9000000}"/>
    <cellStyle name="Porcentual 2 6 3" xfId="210" xr:uid="{00000000-0005-0000-0000-0000EA000000}"/>
    <cellStyle name="Porcentual 2 6 4" xfId="211" xr:uid="{00000000-0005-0000-0000-0000EB000000}"/>
    <cellStyle name="Porcentual 2 6 5" xfId="212" xr:uid="{00000000-0005-0000-0000-0000EC000000}"/>
    <cellStyle name="Porcentual 2 6 6" xfId="213" xr:uid="{00000000-0005-0000-0000-0000ED000000}"/>
    <cellStyle name="Porcentual 2 6 7" xfId="214" xr:uid="{00000000-0005-0000-0000-0000EE000000}"/>
    <cellStyle name="Porcentual 2 7" xfId="215" xr:uid="{00000000-0005-0000-0000-0000EF000000}"/>
    <cellStyle name="Porcentual 2 7 2" xfId="216" xr:uid="{00000000-0005-0000-0000-0000F0000000}"/>
    <cellStyle name="Porcentual 2 7 3" xfId="217" xr:uid="{00000000-0005-0000-0000-0000F1000000}"/>
    <cellStyle name="Porcentual 2 7 4" xfId="218" xr:uid="{00000000-0005-0000-0000-0000F2000000}"/>
    <cellStyle name="Porcentual 2 7 5" xfId="219" xr:uid="{00000000-0005-0000-0000-0000F3000000}"/>
    <cellStyle name="Porcentual 2 7 6" xfId="220" xr:uid="{00000000-0005-0000-0000-0000F4000000}"/>
    <cellStyle name="Porcentual 2 7 7" xfId="221" xr:uid="{00000000-0005-0000-0000-0000F5000000}"/>
    <cellStyle name="Porcentual 2 8" xfId="222" xr:uid="{00000000-0005-0000-0000-0000F6000000}"/>
    <cellStyle name="Porcentual 2 8 2" xfId="223" xr:uid="{00000000-0005-0000-0000-0000F7000000}"/>
    <cellStyle name="Porcentual 2 8 3" xfId="224" xr:uid="{00000000-0005-0000-0000-0000F8000000}"/>
    <cellStyle name="Porcentual 2 8 4" xfId="225" xr:uid="{00000000-0005-0000-0000-0000F9000000}"/>
    <cellStyle name="Porcentual 2 8 5" xfId="226" xr:uid="{00000000-0005-0000-0000-0000FA000000}"/>
    <cellStyle name="Porcentual 2 8 6" xfId="227" xr:uid="{00000000-0005-0000-0000-0000FB000000}"/>
    <cellStyle name="Porcentual 2 8 7" xfId="228" xr:uid="{00000000-0005-0000-0000-0000FC000000}"/>
    <cellStyle name="Porcentual 2 9" xfId="229" xr:uid="{00000000-0005-0000-0000-0000FD000000}"/>
    <cellStyle name="Porcentual 2 9 2" xfId="230" xr:uid="{00000000-0005-0000-0000-0000FE000000}"/>
    <cellStyle name="Porcentual 2 9 3" xfId="231" xr:uid="{00000000-0005-0000-0000-0000FF000000}"/>
    <cellStyle name="Porcentual 2 9 4" xfId="232" xr:uid="{00000000-0005-0000-0000-000000010000}"/>
    <cellStyle name="Porcentual 2 9 5" xfId="233" xr:uid="{00000000-0005-0000-0000-000001010000}"/>
    <cellStyle name="Porcentual 2 9 6" xfId="234" xr:uid="{00000000-0005-0000-0000-000002010000}"/>
    <cellStyle name="Porcentual 2 9 7" xfId="235" xr:uid="{00000000-0005-0000-0000-000003010000}"/>
    <cellStyle name="Porcentual 3" xfId="236" xr:uid="{00000000-0005-0000-0000-000004010000}"/>
    <cellStyle name="Porcentual 4" xfId="237" xr:uid="{00000000-0005-0000-0000-000005010000}"/>
    <cellStyle name="Porcentual 5" xfId="238" xr:uid="{00000000-0005-0000-0000-000006010000}"/>
    <cellStyle name="Text" xfId="239" xr:uid="{00000000-0005-0000-0000-000007010000}"/>
    <cellStyle name="Text 10" xfId="240" xr:uid="{00000000-0005-0000-0000-000008010000}"/>
    <cellStyle name="Text 10 2" xfId="241" xr:uid="{00000000-0005-0000-0000-000009010000}"/>
    <cellStyle name="Text 10 3" xfId="242" xr:uid="{00000000-0005-0000-0000-00000A010000}"/>
    <cellStyle name="Text 10 4" xfId="243" xr:uid="{00000000-0005-0000-0000-00000B010000}"/>
    <cellStyle name="Text 10 5" xfId="244" xr:uid="{00000000-0005-0000-0000-00000C010000}"/>
    <cellStyle name="Text 10 6" xfId="245" xr:uid="{00000000-0005-0000-0000-00000D010000}"/>
    <cellStyle name="Text 10 7" xfId="246" xr:uid="{00000000-0005-0000-0000-00000E010000}"/>
    <cellStyle name="Text 11" xfId="247" xr:uid="{00000000-0005-0000-0000-00000F010000}"/>
    <cellStyle name="Text 11 2" xfId="248" xr:uid="{00000000-0005-0000-0000-000010010000}"/>
    <cellStyle name="Text 11 3" xfId="249" xr:uid="{00000000-0005-0000-0000-000011010000}"/>
    <cellStyle name="Text 11 4" xfId="250" xr:uid="{00000000-0005-0000-0000-000012010000}"/>
    <cellStyle name="Text 11 5" xfId="251" xr:uid="{00000000-0005-0000-0000-000013010000}"/>
    <cellStyle name="Text 11 6" xfId="252" xr:uid="{00000000-0005-0000-0000-000014010000}"/>
    <cellStyle name="Text 11 7" xfId="253" xr:uid="{00000000-0005-0000-0000-000015010000}"/>
    <cellStyle name="Text 12" xfId="254" xr:uid="{00000000-0005-0000-0000-000016010000}"/>
    <cellStyle name="Text 12 2" xfId="255" xr:uid="{00000000-0005-0000-0000-000017010000}"/>
    <cellStyle name="Text 12 3" xfId="256" xr:uid="{00000000-0005-0000-0000-000018010000}"/>
    <cellStyle name="Text 12 4" xfId="257" xr:uid="{00000000-0005-0000-0000-000019010000}"/>
    <cellStyle name="Text 12 5" xfId="258" xr:uid="{00000000-0005-0000-0000-00001A010000}"/>
    <cellStyle name="Text 12 6" xfId="259" xr:uid="{00000000-0005-0000-0000-00001B010000}"/>
    <cellStyle name="Text 12 7" xfId="260" xr:uid="{00000000-0005-0000-0000-00001C010000}"/>
    <cellStyle name="Text 13" xfId="261" xr:uid="{00000000-0005-0000-0000-00001D010000}"/>
    <cellStyle name="Text 13 2" xfId="262" xr:uid="{00000000-0005-0000-0000-00001E010000}"/>
    <cellStyle name="Text 13 3" xfId="263" xr:uid="{00000000-0005-0000-0000-00001F010000}"/>
    <cellStyle name="Text 13 4" xfId="264" xr:uid="{00000000-0005-0000-0000-000020010000}"/>
    <cellStyle name="Text 13 5" xfId="265" xr:uid="{00000000-0005-0000-0000-000021010000}"/>
    <cellStyle name="Text 13 6" xfId="266" xr:uid="{00000000-0005-0000-0000-000022010000}"/>
    <cellStyle name="Text 13 7" xfId="267" xr:uid="{00000000-0005-0000-0000-000023010000}"/>
    <cellStyle name="Text 14" xfId="268" xr:uid="{00000000-0005-0000-0000-000024010000}"/>
    <cellStyle name="Text 14 2" xfId="269" xr:uid="{00000000-0005-0000-0000-000025010000}"/>
    <cellStyle name="Text 14 3" xfId="270" xr:uid="{00000000-0005-0000-0000-000026010000}"/>
    <cellStyle name="Text 14 4" xfId="271" xr:uid="{00000000-0005-0000-0000-000027010000}"/>
    <cellStyle name="Text 14 5" xfId="272" xr:uid="{00000000-0005-0000-0000-000028010000}"/>
    <cellStyle name="Text 14 6" xfId="273" xr:uid="{00000000-0005-0000-0000-000029010000}"/>
    <cellStyle name="Text 14 7" xfId="274" xr:uid="{00000000-0005-0000-0000-00002A010000}"/>
    <cellStyle name="Text 2" xfId="275" xr:uid="{00000000-0005-0000-0000-00002B010000}"/>
    <cellStyle name="Text 3" xfId="276" xr:uid="{00000000-0005-0000-0000-00002C010000}"/>
    <cellStyle name="Text 4" xfId="277" xr:uid="{00000000-0005-0000-0000-00002D010000}"/>
    <cellStyle name="Text 5" xfId="278" xr:uid="{00000000-0005-0000-0000-00002E010000}"/>
    <cellStyle name="Text 6" xfId="279" xr:uid="{00000000-0005-0000-0000-00002F010000}"/>
    <cellStyle name="Text 6 2" xfId="280" xr:uid="{00000000-0005-0000-0000-000030010000}"/>
    <cellStyle name="Text 6 3" xfId="281" xr:uid="{00000000-0005-0000-0000-000031010000}"/>
    <cellStyle name="Text 6 4" xfId="282" xr:uid="{00000000-0005-0000-0000-000032010000}"/>
    <cellStyle name="Text 6 5" xfId="283" xr:uid="{00000000-0005-0000-0000-000033010000}"/>
    <cellStyle name="Text 6 6" xfId="284" xr:uid="{00000000-0005-0000-0000-000034010000}"/>
    <cellStyle name="Text 6 7" xfId="285" xr:uid="{00000000-0005-0000-0000-000035010000}"/>
    <cellStyle name="Text 7" xfId="286" xr:uid="{00000000-0005-0000-0000-000036010000}"/>
    <cellStyle name="Text 7 2" xfId="287" xr:uid="{00000000-0005-0000-0000-000037010000}"/>
    <cellStyle name="Text 7 3" xfId="288" xr:uid="{00000000-0005-0000-0000-000038010000}"/>
    <cellStyle name="Text 7 4" xfId="289" xr:uid="{00000000-0005-0000-0000-000039010000}"/>
    <cellStyle name="Text 7 5" xfId="290" xr:uid="{00000000-0005-0000-0000-00003A010000}"/>
    <cellStyle name="Text 7 6" xfId="291" xr:uid="{00000000-0005-0000-0000-00003B010000}"/>
    <cellStyle name="Text 7 7" xfId="292" xr:uid="{00000000-0005-0000-0000-00003C010000}"/>
    <cellStyle name="Text 8" xfId="293" xr:uid="{00000000-0005-0000-0000-00003D010000}"/>
    <cellStyle name="Text 8 2" xfId="294" xr:uid="{00000000-0005-0000-0000-00003E010000}"/>
    <cellStyle name="Text 8 3" xfId="295" xr:uid="{00000000-0005-0000-0000-00003F010000}"/>
    <cellStyle name="Text 8 4" xfId="296" xr:uid="{00000000-0005-0000-0000-000040010000}"/>
    <cellStyle name="Text 8 5" xfId="297" xr:uid="{00000000-0005-0000-0000-000041010000}"/>
    <cellStyle name="Text 8 6" xfId="298" xr:uid="{00000000-0005-0000-0000-000042010000}"/>
    <cellStyle name="Text 8 7" xfId="299" xr:uid="{00000000-0005-0000-0000-000043010000}"/>
    <cellStyle name="Text 9" xfId="300" xr:uid="{00000000-0005-0000-0000-000044010000}"/>
    <cellStyle name="Text 9 2" xfId="301" xr:uid="{00000000-0005-0000-0000-000045010000}"/>
    <cellStyle name="Text 9 3" xfId="302" xr:uid="{00000000-0005-0000-0000-000046010000}"/>
    <cellStyle name="Text 9 4" xfId="303" xr:uid="{00000000-0005-0000-0000-000047010000}"/>
    <cellStyle name="Text 9 5" xfId="304" xr:uid="{00000000-0005-0000-0000-000048010000}"/>
    <cellStyle name="Text 9 6" xfId="305" xr:uid="{00000000-0005-0000-0000-000049010000}"/>
    <cellStyle name="Text 9 7" xfId="306" xr:uid="{00000000-0005-0000-0000-00004A010000}"/>
    <cellStyle name="Total" xfId="4" builtinId="25" customBuiltin="1"/>
    <cellStyle name="ДАТА" xfId="307" xr:uid="{00000000-0005-0000-0000-00004C010000}"/>
    <cellStyle name="ДЕНЕЖНЫЙ_BOPENGC" xfId="308" xr:uid="{00000000-0005-0000-0000-00004D010000}"/>
    <cellStyle name="ЗАГОЛОВОК1" xfId="309" xr:uid="{00000000-0005-0000-0000-00004E010000}"/>
    <cellStyle name="ЗАГОЛОВОК2" xfId="310" xr:uid="{00000000-0005-0000-0000-00004F010000}"/>
    <cellStyle name="ИТОГОВЫЙ" xfId="311" xr:uid="{00000000-0005-0000-0000-000050010000}"/>
    <cellStyle name="Обычный_BOPENGC" xfId="312" xr:uid="{00000000-0005-0000-0000-000051010000}"/>
    <cellStyle name="ПРОЦЕНТНЫЙ_BOPENGC" xfId="313" xr:uid="{00000000-0005-0000-0000-000052010000}"/>
    <cellStyle name="ТЕКСТ" xfId="314" xr:uid="{00000000-0005-0000-0000-000053010000}"/>
    <cellStyle name="ФИКСИРОВАННЫЙ" xfId="315" xr:uid="{00000000-0005-0000-0000-000054010000}"/>
    <cellStyle name="ФИНАНСОВЫЙ_BOPENGC" xfId="316" xr:uid="{00000000-0005-0000-0000-000055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00FF"/>
      <color rgb="FFFF006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INDUSTRIA\BASES\INDICE%20PRODUCCION%20REAL\INDICE90%20(NUEVO%2098-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TEMP\ITCR94%20(IPM)%201994=10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PI\DIFP-CONSOLIDACION\TRABAJO\Espacios%20Fisca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TEMP\PRECIOS%20PROM94=100cop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LCHARRVE\LFCH\varios\BOLETIN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USERS\DOCSEGUIMACRO\RECIBIDOS\DICIEMBRE\CAMBIARIA\CAMSEG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Lcharrve\REVISTA\CONSOLIDADO\FPjul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SERVIDOR\Downloads\PRESENTACION%20CAF\USB%20SETP%20MONTERIA\CUENTA%20DE%20COBRO%20NACION%20III_2013\CUENTA%20NACION%20_AJUSTES%20MARZO%2020%202014\GERENCIA%20DEL%20PROYECTO\PROYECCION%20GERENCIA%20DEL%20PROYECTO%20_%20Agosto%20%2013%20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USUARIO\Desktop\RECOMPOSICION_OCT%203_2016\RECOMPOSICION%20CONPES%203833_SEPT%202016-ULTIMO\RECOMPOSICION%20CONPES%203833_agosto%2031%202016\PROYECCION%20GERENCIA%20DEL%20PROYECTO%20_%20%202011_20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RECOMPOSICION%202018\EJECUCION%20CONPES%20POR%20FUENTES_MARZO%2031_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USUARIO\Desktop\RECOMPOSICION_OCT%203_2016\RECOMPOSICION%20CONPES%203833_SEPT%202016-ULTIMO\POA__PLAN%20DE%20ADQUISICIONES_PAGOS%20A%20AGOSTO%2031_2016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VAR MENSUAL"/>
      <sheetName val="VAR ANUAL"/>
      <sheetName val="VAR ACUMULA CORRIDA"/>
      <sheetName val="VAR ACUMULA ANUAL"/>
      <sheetName val="EJERCICIO CH ACUM VAR% "/>
      <sheetName val="Table 17 Var anual"/>
      <sheetName val="Tabla 17 Promedio"/>
      <sheetName val="Promedio"/>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sheetName val="DIARIO"/>
      <sheetName val="ITCR FIN DE"/>
      <sheetName val="ITCRIPC(NT)"/>
      <sheetName val="ITCRIPP(NT)"/>
      <sheetName val="GRAFICO ITCR"/>
      <sheetName val="EST. IPM - IPC"/>
      <sheetName val="grfipc"/>
      <sheetName val="ITCRIPP(T)"/>
      <sheetName val="ITCRIPC(T)"/>
      <sheetName val="revista"/>
      <sheetName val="ITCR(TR-NTR)"/>
      <sheetName val="ITCRFMI"/>
      <sheetName val="Gráfico3"/>
      <sheetName val="RESULTADO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efreshError="1"/>
      <sheetData sheetId="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BIBLIOTECA DE MEDELLIN</v>
          </cell>
        </row>
        <row r="14">
          <cell r="B14" t="str">
            <v>C.D.A.</v>
          </cell>
        </row>
        <row r="15">
          <cell r="B15" t="str">
            <v>C.S.B.</v>
          </cell>
        </row>
        <row r="16">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M"/>
      <sheetName val="IPC"/>
      <sheetName val="EMPALMES"/>
      <sheetName val="WPI"/>
    </sheetNames>
    <sheetDataSet>
      <sheetData sheetId="0">
        <row r="1">
          <cell r="A1" t="str">
            <v>CODIGO SERIE</v>
          </cell>
          <cell r="B1" t="str">
            <v>63...</v>
          </cell>
          <cell r="C1" t="str">
            <v>63...</v>
          </cell>
          <cell r="D1" t="str">
            <v>63...</v>
          </cell>
          <cell r="E1" t="str">
            <v>63...</v>
          </cell>
          <cell r="F1" t="str">
            <v>63...</v>
          </cell>
          <cell r="G1" t="str">
            <v>64...</v>
          </cell>
          <cell r="H1" t="str">
            <v>63...</v>
          </cell>
          <cell r="I1" t="str">
            <v>63A..</v>
          </cell>
          <cell r="J1" t="str">
            <v>63...</v>
          </cell>
          <cell r="K1" t="str">
            <v>63...</v>
          </cell>
          <cell r="L1" t="str">
            <v>63...</v>
          </cell>
          <cell r="M1" t="str">
            <v>63...</v>
          </cell>
          <cell r="O1" t="str">
            <v>63...</v>
          </cell>
          <cell r="P1" t="str">
            <v>63...</v>
          </cell>
          <cell r="Q1" t="str">
            <v>64...</v>
          </cell>
          <cell r="R1" t="str">
            <v>63...</v>
          </cell>
          <cell r="S1" t="str">
            <v>63...</v>
          </cell>
          <cell r="T1" t="str">
            <v>64...</v>
          </cell>
          <cell r="U1" t="str">
            <v>64...</v>
          </cell>
          <cell r="V1" t="str">
            <v>63...</v>
          </cell>
        </row>
        <row r="2">
          <cell r="A2" t="str">
            <v>CODIGO PAÍS</v>
          </cell>
          <cell r="B2" t="str">
            <v>111</v>
          </cell>
          <cell r="C2" t="str">
            <v>134</v>
          </cell>
          <cell r="D2" t="str">
            <v>158</v>
          </cell>
          <cell r="E2" t="str">
            <v>138</v>
          </cell>
          <cell r="F2" t="str">
            <v>184</v>
          </cell>
          <cell r="G2" t="str">
            <v>132</v>
          </cell>
          <cell r="H2" t="str">
            <v>112</v>
          </cell>
          <cell r="I2" t="str">
            <v>136</v>
          </cell>
          <cell r="J2" t="str">
            <v>124</v>
          </cell>
          <cell r="K2" t="str">
            <v>146</v>
          </cell>
          <cell r="L2" t="str">
            <v>156</v>
          </cell>
          <cell r="M2" t="str">
            <v>144</v>
          </cell>
          <cell r="O2" t="str">
            <v>273</v>
          </cell>
          <cell r="P2" t="str">
            <v>299</v>
          </cell>
          <cell r="Q2" t="str">
            <v>248</v>
          </cell>
          <cell r="R2" t="str">
            <v>223</v>
          </cell>
          <cell r="S2" t="str">
            <v>228</v>
          </cell>
          <cell r="T2" t="str">
            <v>293</v>
          </cell>
          <cell r="U2" t="str">
            <v>283</v>
          </cell>
          <cell r="V2" t="str">
            <v>213</v>
          </cell>
        </row>
        <row r="3">
          <cell r="A3" t="str">
            <v>CODIGO</v>
          </cell>
        </row>
        <row r="4">
          <cell r="A4" t="str">
            <v>PAIS</v>
          </cell>
          <cell r="B4" t="str">
            <v>USA</v>
          </cell>
          <cell r="C4" t="str">
            <v>ALEMANIA</v>
          </cell>
          <cell r="D4" t="str">
            <v>JAPON</v>
          </cell>
          <cell r="E4" t="str">
            <v>HOLANDA</v>
          </cell>
          <cell r="F4" t="str">
            <v>ESPANA</v>
          </cell>
          <cell r="G4" t="str">
            <v>FRANCIA</v>
          </cell>
          <cell r="H4" t="str">
            <v>REINO U.</v>
          </cell>
          <cell r="I4" t="str">
            <v>ITALIA</v>
          </cell>
          <cell r="J4" t="str">
            <v>BELGICA</v>
          </cell>
          <cell r="K4" t="str">
            <v>SUIZA</v>
          </cell>
          <cell r="L4" t="str">
            <v>CANADA</v>
          </cell>
          <cell r="M4" t="str">
            <v>SUECIA</v>
          </cell>
          <cell r="N4" t="str">
            <v xml:space="preserve">  </v>
          </cell>
          <cell r="O4" t="str">
            <v>MEXICO</v>
          </cell>
          <cell r="P4" t="str">
            <v>VENEZUELA</v>
          </cell>
          <cell r="Q4" t="str">
            <v>ECUADOR</v>
          </cell>
          <cell r="R4" t="str">
            <v>BRASIL</v>
          </cell>
          <cell r="S4" t="str">
            <v>CHILE</v>
          </cell>
          <cell r="T4" t="str">
            <v>PERU</v>
          </cell>
          <cell r="U4" t="str">
            <v>PANAMA</v>
          </cell>
          <cell r="V4" t="str">
            <v>ARGENTINA</v>
          </cell>
        </row>
        <row r="5">
          <cell r="A5">
            <v>31747</v>
          </cell>
          <cell r="B5">
            <v>82.797888020980565</v>
          </cell>
          <cell r="C5">
            <v>90.36436276816832</v>
          </cell>
          <cell r="D5">
            <v>104.59886540271191</v>
          </cell>
          <cell r="E5">
            <v>91.224949774120432</v>
          </cell>
          <cell r="F5">
            <v>81.920707257246221</v>
          </cell>
          <cell r="G5">
            <v>81.222316558271274</v>
          </cell>
          <cell r="H5">
            <v>73.053255085399655</v>
          </cell>
          <cell r="I5">
            <v>69.082385398020335</v>
          </cell>
          <cell r="J5">
            <v>98.936102584903892</v>
          </cell>
          <cell r="K5">
            <v>91.596271035341502</v>
          </cell>
          <cell r="L5">
            <v>83.921329448517852</v>
          </cell>
          <cell r="M5">
            <v>73.384926231846507</v>
          </cell>
          <cell r="O5">
            <v>12.304143436029321</v>
          </cell>
          <cell r="P5">
            <v>7.1000870707738404</v>
          </cell>
          <cell r="Q5">
            <v>4.909975179795004</v>
          </cell>
          <cell r="R5">
            <v>5.180377402216365E-7</v>
          </cell>
          <cell r="S5">
            <v>38.020257220917756</v>
          </cell>
          <cell r="T5">
            <v>5.5878856302097007E-4</v>
          </cell>
          <cell r="U5">
            <v>93.533529213964911</v>
          </cell>
          <cell r="V5">
            <v>8.1812244706614811E-3</v>
          </cell>
        </row>
        <row r="6">
          <cell r="A6">
            <v>31778</v>
          </cell>
          <cell r="B6">
            <v>83.462264856103062</v>
          </cell>
          <cell r="C6">
            <v>89.985873482186378</v>
          </cell>
          <cell r="D6">
            <v>103.76871542988557</v>
          </cell>
          <cell r="E6">
            <v>91.319483495813614</v>
          </cell>
          <cell r="F6">
            <v>82.101348643512324</v>
          </cell>
          <cell r="G6">
            <v>81.966564575593111</v>
          </cell>
          <cell r="H6">
            <v>73.744066567444349</v>
          </cell>
          <cell r="I6">
            <v>69.845061355348875</v>
          </cell>
          <cell r="J6">
            <v>98.096366887009907</v>
          </cell>
          <cell r="K6">
            <v>90.791912957984678</v>
          </cell>
          <cell r="L6">
            <v>84.376433871857245</v>
          </cell>
          <cell r="M6">
            <v>74.043087552939767</v>
          </cell>
          <cell r="O6">
            <v>13.221579310596368</v>
          </cell>
          <cell r="P6">
            <v>7.473523875294938</v>
          </cell>
          <cell r="Q6">
            <v>4.998369144934304</v>
          </cell>
          <cell r="R6">
            <v>5.7117097030218014E-7</v>
          </cell>
          <cell r="S6">
            <v>37.702774869548563</v>
          </cell>
          <cell r="T6">
            <v>5.9550721555452421E-4</v>
          </cell>
          <cell r="U6">
            <v>93.64787324300606</v>
          </cell>
          <cell r="V6">
            <v>8.6158002796441081E-3</v>
          </cell>
        </row>
        <row r="7">
          <cell r="A7">
            <v>31809</v>
          </cell>
          <cell r="B7">
            <v>83.877499654040221</v>
          </cell>
          <cell r="C7">
            <v>89.796628349997761</v>
          </cell>
          <cell r="D7">
            <v>103.65012211593394</v>
          </cell>
          <cell r="E7">
            <v>91.035883285523695</v>
          </cell>
          <cell r="F7">
            <v>82.191668881956844</v>
          </cell>
          <cell r="G7">
            <v>82.115414726129714</v>
          </cell>
          <cell r="H7">
            <v>74.003120657368669</v>
          </cell>
          <cell r="I7">
            <v>69.965483874927074</v>
          </cell>
          <cell r="J7">
            <v>97.714669128907531</v>
          </cell>
          <cell r="K7">
            <v>90.590823193588591</v>
          </cell>
          <cell r="L7">
            <v>84.103371767119611</v>
          </cell>
          <cell r="M7">
            <v>74.207627214562876</v>
          </cell>
          <cell r="O7">
            <v>14.007250658543047</v>
          </cell>
          <cell r="P7">
            <v>8.067192590930695</v>
          </cell>
          <cell r="Q7">
            <v>5.1250372165191971</v>
          </cell>
          <cell r="R7">
            <v>6.2910517444354728E-7</v>
          </cell>
          <cell r="S7">
            <v>38.034688007768061</v>
          </cell>
          <cell r="T7">
            <v>6.2855494820827495E-4</v>
          </cell>
          <cell r="U7">
            <v>93.590700751769972</v>
          </cell>
          <cell r="V7">
            <v>9.2101006993550501E-3</v>
          </cell>
        </row>
        <row r="8">
          <cell r="A8">
            <v>31837</v>
          </cell>
          <cell r="B8">
            <v>84.043593380144586</v>
          </cell>
          <cell r="C8">
            <v>89.891250916092076</v>
          </cell>
          <cell r="D8">
            <v>103.76871542988557</v>
          </cell>
          <cell r="E8">
            <v>91.035883285523695</v>
          </cell>
          <cell r="F8">
            <v>82.281989120401349</v>
          </cell>
          <cell r="G8">
            <v>82.214647248033714</v>
          </cell>
          <cell r="H8">
            <v>74.175823096194975</v>
          </cell>
          <cell r="I8">
            <v>70.045765554645854</v>
          </cell>
          <cell r="J8">
            <v>98.172706018584549</v>
          </cell>
          <cell r="K8">
            <v>90.691368075786642</v>
          </cell>
          <cell r="L8">
            <v>84.103371767119611</v>
          </cell>
          <cell r="M8">
            <v>74.043087552939767</v>
          </cell>
          <cell r="O8">
            <v>15.031264605415668</v>
          </cell>
          <cell r="P8">
            <v>8.5603206392531543</v>
          </cell>
          <cell r="Q8">
            <v>5.3893082452922236</v>
          </cell>
          <cell r="R8">
            <v>7.1492160276700436E-7</v>
          </cell>
          <cell r="S8">
            <v>39.10258135667808</v>
          </cell>
          <cell r="T8">
            <v>6.6225067427181609E-4</v>
          </cell>
          <cell r="U8">
            <v>93.81938976328334</v>
          </cell>
          <cell r="V8">
            <v>9.9330104832606597E-3</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OLETIN1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RAGICOS"/>
      <sheetName val="Módulo1"/>
    </sheetNames>
    <sheetDataSet>
      <sheetData sheetId="0">
        <row r="3">
          <cell r="B3" t="str">
            <v>Cuadro II-3A</v>
          </cell>
          <cell r="N3" t="str">
            <v>Cuadro II-4A</v>
          </cell>
          <cell r="X3" t="str">
            <v>Cuadro II-5A</v>
          </cell>
        </row>
        <row r="5">
          <cell r="B5" t="str">
            <v>REINTEGROS POR SERVICIOS FINANCIEROS Y NO FINANCIEROS</v>
          </cell>
          <cell r="N5" t="str">
            <v>CUENTA DE CAPITAL</v>
          </cell>
          <cell r="X5" t="str">
            <v>BALANZA CAMBIARIA</v>
          </cell>
        </row>
        <row r="7">
          <cell r="B7" t="str">
            <v>(Valores mensuales)</v>
          </cell>
          <cell r="N7" t="str">
            <v>(Valores mensuales)</v>
          </cell>
          <cell r="X7" t="str">
            <v>(Valores mensuales)</v>
          </cell>
        </row>
        <row r="9">
          <cell r="I9" t="str">
            <v xml:space="preserve">                  (Miles de dólares)</v>
          </cell>
          <cell r="T9" t="str">
            <v>(Miles de pesos)</v>
          </cell>
          <cell r="AD9" t="str">
            <v xml:space="preserve">               (Miles de dólares)</v>
          </cell>
        </row>
        <row r="10">
          <cell r="B10" t="str">
            <v>Período</v>
          </cell>
          <cell r="D10" t="str">
            <v>Turismo</v>
          </cell>
          <cell r="E10" t="str">
            <v>Transferencias</v>
          </cell>
          <cell r="F10" t="str">
            <v>Otros servicios</v>
          </cell>
          <cell r="G10" t="str">
            <v>Servicios</v>
          </cell>
          <cell r="I10" t="str">
            <v>Servicios Totales</v>
          </cell>
          <cell r="N10" t="str">
            <v>Período</v>
          </cell>
          <cell r="P10" t="str">
            <v>Sector</v>
          </cell>
          <cell r="Q10" t="str">
            <v>Inversión</v>
          </cell>
          <cell r="R10" t="str">
            <v>Sector</v>
          </cell>
          <cell r="S10" t="str">
            <v>Operaciones</v>
          </cell>
          <cell r="T10" t="str">
            <v>Financiación</v>
          </cell>
          <cell r="Y10" t="str">
            <v>Período</v>
          </cell>
          <cell r="Z10" t="str">
            <v>Superávit o</v>
          </cell>
          <cell r="AA10" t="str">
            <v xml:space="preserve">  Financiación</v>
          </cell>
          <cell r="AB10" t="str">
            <v>Causaciones</v>
          </cell>
          <cell r="AD10" t="str">
            <v>Variación Reservas Netas</v>
          </cell>
        </row>
        <row r="11">
          <cell r="E11" t="str">
            <v>e ingresos</v>
          </cell>
          <cell r="F11" t="str">
            <v>no financieros</v>
          </cell>
          <cell r="G11" t="str">
            <v>financieros</v>
          </cell>
          <cell r="I11" t="str">
            <v>Mensual</v>
          </cell>
          <cell r="J11" t="str">
            <v xml:space="preserve">   Año corrido</v>
          </cell>
          <cell r="P11" t="str">
            <v>privado¹</v>
          </cell>
          <cell r="Q11" t="str">
            <v>extranjera</v>
          </cell>
          <cell r="R11" t="str">
            <v>oficial¹</v>
          </cell>
          <cell r="S11" t="str">
            <v>especiales²</v>
          </cell>
          <cell r="T11" t="str">
            <v>neta</v>
          </cell>
          <cell r="Z11" t="str">
            <v>déficit en</v>
          </cell>
          <cell r="AA11" t="str">
            <v>neta</v>
          </cell>
          <cell r="AB11" t="str">
            <v>valuac. y prov.</v>
          </cell>
          <cell r="AD11" t="str">
            <v>Mensual</v>
          </cell>
          <cell r="AE11" t="str">
            <v>Año corrido</v>
          </cell>
        </row>
        <row r="12">
          <cell r="E12" t="str">
            <v>personales</v>
          </cell>
          <cell r="Q12" t="str">
            <v>neta</v>
          </cell>
          <cell r="Z12" t="str">
            <v>Cta. Cte.</v>
          </cell>
        </row>
        <row r="13">
          <cell r="C13" t="str">
            <v>Ene/92</v>
          </cell>
          <cell r="D13">
            <v>114511</v>
          </cell>
          <cell r="E13">
            <v>153740</v>
          </cell>
          <cell r="F13">
            <v>29600</v>
          </cell>
          <cell r="G13">
            <v>33905</v>
          </cell>
          <cell r="I13">
            <v>331756</v>
          </cell>
          <cell r="J13">
            <v>331756</v>
          </cell>
          <cell r="O13" t="str">
            <v>Ene/92</v>
          </cell>
          <cell r="P13">
            <v>0</v>
          </cell>
          <cell r="Q13">
            <v>0</v>
          </cell>
          <cell r="R13">
            <v>0</v>
          </cell>
          <cell r="S13">
            <v>0</v>
          </cell>
          <cell r="T13">
            <v>0</v>
          </cell>
          <cell r="Y13" t="str">
            <v>Ene/92</v>
          </cell>
          <cell r="Z13">
            <v>0</v>
          </cell>
          <cell r="AA13">
            <v>0</v>
          </cell>
          <cell r="AB13">
            <v>0</v>
          </cell>
          <cell r="AD13">
            <v>0</v>
          </cell>
          <cell r="AE13">
            <v>0</v>
          </cell>
        </row>
        <row r="14">
          <cell r="C14" t="str">
            <v>Feb</v>
          </cell>
          <cell r="D14">
            <v>67955</v>
          </cell>
          <cell r="E14">
            <v>127936</v>
          </cell>
          <cell r="F14">
            <v>32100</v>
          </cell>
          <cell r="G14">
            <v>34048</v>
          </cell>
          <cell r="I14">
            <v>262039</v>
          </cell>
          <cell r="J14">
            <v>593795</v>
          </cell>
          <cell r="O14" t="str">
            <v>Feb</v>
          </cell>
          <cell r="P14">
            <v>0</v>
          </cell>
          <cell r="Q14">
            <v>0</v>
          </cell>
          <cell r="R14">
            <v>0</v>
          </cell>
          <cell r="S14">
            <v>0</v>
          </cell>
          <cell r="T14">
            <v>0</v>
          </cell>
          <cell r="Y14" t="str">
            <v>Feb</v>
          </cell>
          <cell r="Z14">
            <v>0</v>
          </cell>
          <cell r="AA14">
            <v>0</v>
          </cell>
          <cell r="AB14">
            <v>0</v>
          </cell>
          <cell r="AD14">
            <v>0</v>
          </cell>
          <cell r="AE14">
            <v>0</v>
          </cell>
        </row>
        <row r="15">
          <cell r="C15" t="str">
            <v>Mar</v>
          </cell>
          <cell r="D15">
            <v>87352</v>
          </cell>
          <cell r="E15">
            <v>161634</v>
          </cell>
          <cell r="F15">
            <v>31400</v>
          </cell>
          <cell r="G15">
            <v>29525</v>
          </cell>
          <cell r="I15">
            <v>309911</v>
          </cell>
          <cell r="J15">
            <v>903706</v>
          </cell>
          <cell r="O15" t="str">
            <v>Mar</v>
          </cell>
          <cell r="P15">
            <v>0</v>
          </cell>
          <cell r="Q15">
            <v>0</v>
          </cell>
          <cell r="R15">
            <v>0</v>
          </cell>
          <cell r="S15">
            <v>0</v>
          </cell>
          <cell r="T15">
            <v>0</v>
          </cell>
          <cell r="Y15" t="str">
            <v>Mar</v>
          </cell>
          <cell r="Z15">
            <v>0</v>
          </cell>
          <cell r="AA15">
            <v>0</v>
          </cell>
          <cell r="AB15">
            <v>0</v>
          </cell>
          <cell r="AD15">
            <v>0</v>
          </cell>
          <cell r="AE15">
            <v>0</v>
          </cell>
        </row>
        <row r="16">
          <cell r="C16" t="str">
            <v>Abr</v>
          </cell>
          <cell r="D16">
            <v>75665</v>
          </cell>
          <cell r="E16">
            <v>152252</v>
          </cell>
          <cell r="F16">
            <v>33200</v>
          </cell>
          <cell r="G16">
            <v>29504</v>
          </cell>
          <cell r="I16">
            <v>290621</v>
          </cell>
          <cell r="J16">
            <v>1194327</v>
          </cell>
          <cell r="O16" t="str">
            <v>Abr</v>
          </cell>
          <cell r="P16">
            <v>0</v>
          </cell>
          <cell r="Q16">
            <v>0</v>
          </cell>
          <cell r="R16">
            <v>0</v>
          </cell>
          <cell r="S16">
            <v>0</v>
          </cell>
          <cell r="T16">
            <v>0</v>
          </cell>
          <cell r="Y16" t="str">
            <v>Abr</v>
          </cell>
          <cell r="Z16">
            <v>0</v>
          </cell>
          <cell r="AA16">
            <v>0</v>
          </cell>
          <cell r="AB16">
            <v>0</v>
          </cell>
          <cell r="AD16">
            <v>0</v>
          </cell>
          <cell r="AE16">
            <v>0</v>
          </cell>
        </row>
        <row r="17">
          <cell r="C17" t="str">
            <v>May</v>
          </cell>
          <cell r="D17">
            <v>60910</v>
          </cell>
          <cell r="E17">
            <v>187880</v>
          </cell>
          <cell r="F17">
            <v>29400</v>
          </cell>
          <cell r="G17">
            <v>34161</v>
          </cell>
          <cell r="I17">
            <v>312351</v>
          </cell>
          <cell r="J17">
            <v>1506678</v>
          </cell>
          <cell r="O17" t="str">
            <v>May</v>
          </cell>
          <cell r="P17">
            <v>0</v>
          </cell>
          <cell r="Q17">
            <v>0</v>
          </cell>
          <cell r="R17">
            <v>0</v>
          </cell>
          <cell r="S17">
            <v>0</v>
          </cell>
          <cell r="T17">
            <v>0</v>
          </cell>
          <cell r="Y17" t="str">
            <v>May</v>
          </cell>
          <cell r="Z17">
            <v>0</v>
          </cell>
          <cell r="AA17">
            <v>0</v>
          </cell>
          <cell r="AB17">
            <v>0</v>
          </cell>
          <cell r="AD17">
            <v>0</v>
          </cell>
          <cell r="AE17">
            <v>0</v>
          </cell>
        </row>
        <row r="18">
          <cell r="C18" t="str">
            <v>Jun</v>
          </cell>
          <cell r="D18">
            <v>69787</v>
          </cell>
          <cell r="E18">
            <v>187504</v>
          </cell>
          <cell r="F18">
            <v>26300</v>
          </cell>
          <cell r="G18">
            <v>31825</v>
          </cell>
          <cell r="I18">
            <v>315416</v>
          </cell>
          <cell r="J18">
            <v>1822094</v>
          </cell>
          <cell r="O18" t="str">
            <v>Jun</v>
          </cell>
          <cell r="P18">
            <v>0</v>
          </cell>
          <cell r="Q18">
            <v>0</v>
          </cell>
          <cell r="R18">
            <v>0</v>
          </cell>
          <cell r="S18">
            <v>0</v>
          </cell>
          <cell r="T18">
            <v>0</v>
          </cell>
          <cell r="Y18" t="str">
            <v>Jun</v>
          </cell>
          <cell r="Z18">
            <v>0</v>
          </cell>
          <cell r="AA18">
            <v>0</v>
          </cell>
          <cell r="AB18">
            <v>0</v>
          </cell>
          <cell r="AD18">
            <v>0</v>
          </cell>
          <cell r="AE18">
            <v>0</v>
          </cell>
        </row>
        <row r="19">
          <cell r="C19" t="str">
            <v>Jul</v>
          </cell>
          <cell r="D19">
            <v>71327</v>
          </cell>
          <cell r="E19">
            <v>150709</v>
          </cell>
          <cell r="F19">
            <v>27800</v>
          </cell>
          <cell r="G19">
            <v>31572</v>
          </cell>
          <cell r="I19">
            <v>281408</v>
          </cell>
          <cell r="J19">
            <v>2103502</v>
          </cell>
          <cell r="O19" t="str">
            <v>Jul</v>
          </cell>
          <cell r="P19">
            <v>0</v>
          </cell>
          <cell r="Q19">
            <v>0</v>
          </cell>
          <cell r="R19">
            <v>0</v>
          </cell>
          <cell r="S19">
            <v>0</v>
          </cell>
          <cell r="T19">
            <v>0</v>
          </cell>
          <cell r="Y19" t="str">
            <v>Jul</v>
          </cell>
          <cell r="Z19">
            <v>0</v>
          </cell>
          <cell r="AA19">
            <v>0</v>
          </cell>
          <cell r="AB19">
            <v>0</v>
          </cell>
          <cell r="AD19">
            <v>0</v>
          </cell>
          <cell r="AE19">
            <v>0</v>
          </cell>
        </row>
        <row r="20">
          <cell r="C20" t="str">
            <v>Ago</v>
          </cell>
          <cell r="D20">
            <v>62021</v>
          </cell>
          <cell r="E20">
            <v>81215</v>
          </cell>
          <cell r="F20">
            <v>28100</v>
          </cell>
          <cell r="G20">
            <v>32021</v>
          </cell>
          <cell r="I20">
            <v>203357</v>
          </cell>
          <cell r="J20">
            <v>2306859</v>
          </cell>
          <cell r="O20" t="str">
            <v>Ago</v>
          </cell>
          <cell r="P20">
            <v>0</v>
          </cell>
          <cell r="Q20">
            <v>0</v>
          </cell>
          <cell r="R20">
            <v>0</v>
          </cell>
          <cell r="S20">
            <v>0</v>
          </cell>
          <cell r="T20">
            <v>0</v>
          </cell>
          <cell r="Y20" t="str">
            <v>Ago</v>
          </cell>
          <cell r="Z20">
            <v>0</v>
          </cell>
          <cell r="AA20">
            <v>0</v>
          </cell>
          <cell r="AB20">
            <v>0</v>
          </cell>
          <cell r="AD20">
            <v>0</v>
          </cell>
          <cell r="AE20">
            <v>0</v>
          </cell>
        </row>
        <row r="21">
          <cell r="C21" t="str">
            <v>Sep</v>
          </cell>
          <cell r="D21">
            <v>95781</v>
          </cell>
          <cell r="E21">
            <v>103732</v>
          </cell>
          <cell r="F21">
            <v>39900</v>
          </cell>
          <cell r="G21">
            <v>30567</v>
          </cell>
          <cell r="I21">
            <v>269980</v>
          </cell>
          <cell r="J21">
            <v>2576839</v>
          </cell>
          <cell r="O21" t="str">
            <v>Sep</v>
          </cell>
          <cell r="P21">
            <v>0</v>
          </cell>
          <cell r="Q21">
            <v>0</v>
          </cell>
          <cell r="R21">
            <v>0</v>
          </cell>
          <cell r="S21">
            <v>0</v>
          </cell>
          <cell r="T21">
            <v>0</v>
          </cell>
          <cell r="Y21" t="str">
            <v>Sep</v>
          </cell>
          <cell r="Z21">
            <v>0</v>
          </cell>
          <cell r="AA21">
            <v>0</v>
          </cell>
          <cell r="AB21">
            <v>0</v>
          </cell>
          <cell r="AD21">
            <v>0</v>
          </cell>
          <cell r="AE21">
            <v>0</v>
          </cell>
        </row>
        <row r="22">
          <cell r="C22" t="str">
            <v>Oct</v>
          </cell>
          <cell r="D22">
            <v>26679</v>
          </cell>
          <cell r="E22">
            <v>82878</v>
          </cell>
          <cell r="F22">
            <v>62000</v>
          </cell>
          <cell r="G22">
            <v>43353</v>
          </cell>
          <cell r="I22">
            <v>214910</v>
          </cell>
          <cell r="J22">
            <v>2791749</v>
          </cell>
          <cell r="O22" t="str">
            <v>Oct</v>
          </cell>
          <cell r="P22">
            <v>0</v>
          </cell>
          <cell r="Q22">
            <v>0</v>
          </cell>
          <cell r="R22">
            <v>0</v>
          </cell>
          <cell r="S22">
            <v>0</v>
          </cell>
          <cell r="T22">
            <v>0</v>
          </cell>
          <cell r="Y22" t="str">
            <v>Oct</v>
          </cell>
          <cell r="Z22">
            <v>0</v>
          </cell>
          <cell r="AA22">
            <v>0</v>
          </cell>
          <cell r="AB22">
            <v>0</v>
          </cell>
          <cell r="AD22">
            <v>0</v>
          </cell>
          <cell r="AE22">
            <v>0</v>
          </cell>
        </row>
        <row r="23">
          <cell r="C23" t="str">
            <v>Nov</v>
          </cell>
          <cell r="D23">
            <v>33120</v>
          </cell>
          <cell r="E23">
            <v>80885</v>
          </cell>
          <cell r="F23">
            <v>43100</v>
          </cell>
          <cell r="G23">
            <v>34207</v>
          </cell>
          <cell r="I23">
            <v>191312</v>
          </cell>
          <cell r="J23">
            <v>2983061</v>
          </cell>
          <cell r="O23" t="str">
            <v>Nov</v>
          </cell>
          <cell r="P23">
            <v>0</v>
          </cell>
          <cell r="Q23">
            <v>0</v>
          </cell>
          <cell r="R23">
            <v>0</v>
          </cell>
          <cell r="S23">
            <v>0</v>
          </cell>
          <cell r="T23">
            <v>0</v>
          </cell>
          <cell r="Y23" t="str">
            <v>Nov</v>
          </cell>
          <cell r="Z23">
            <v>0</v>
          </cell>
          <cell r="AA23">
            <v>0</v>
          </cell>
          <cell r="AB23">
            <v>0</v>
          </cell>
          <cell r="AD23">
            <v>0</v>
          </cell>
          <cell r="AE23">
            <v>0</v>
          </cell>
        </row>
        <row r="24">
          <cell r="C24" t="str">
            <v>Dic</v>
          </cell>
          <cell r="D24">
            <v>32277</v>
          </cell>
          <cell r="E24">
            <v>122500</v>
          </cell>
          <cell r="F24">
            <v>34000</v>
          </cell>
          <cell r="G24">
            <v>31163</v>
          </cell>
          <cell r="I24">
            <v>219940</v>
          </cell>
          <cell r="J24">
            <v>3203001</v>
          </cell>
          <cell r="O24" t="str">
            <v>Dic</v>
          </cell>
          <cell r="P24">
            <v>0</v>
          </cell>
          <cell r="Q24">
            <v>0</v>
          </cell>
          <cell r="R24">
            <v>0</v>
          </cell>
          <cell r="S24">
            <v>0</v>
          </cell>
          <cell r="T24">
            <v>0</v>
          </cell>
          <cell r="Y24" t="str">
            <v>Dic</v>
          </cell>
          <cell r="Z24">
            <v>0</v>
          </cell>
          <cell r="AA24">
            <v>0</v>
          </cell>
          <cell r="AB24">
            <v>0</v>
          </cell>
          <cell r="AD24">
            <v>0</v>
          </cell>
          <cell r="AE24">
            <v>0</v>
          </cell>
        </row>
        <row r="25">
          <cell r="C25" t="str">
            <v>Ene/93</v>
          </cell>
          <cell r="D25">
            <v>42301.246950000001</v>
          </cell>
          <cell r="E25">
            <v>50717.076639999999</v>
          </cell>
          <cell r="F25">
            <v>25797.451659999999</v>
          </cell>
          <cell r="G25">
            <v>3826.4597199999998</v>
          </cell>
          <cell r="I25">
            <v>122642.23497</v>
          </cell>
          <cell r="J25">
            <v>122642.23497</v>
          </cell>
          <cell r="O25" t="str">
            <v>Ene/93</v>
          </cell>
          <cell r="P25">
            <v>0</v>
          </cell>
          <cell r="Q25">
            <v>0</v>
          </cell>
          <cell r="R25">
            <v>0</v>
          </cell>
          <cell r="S25">
            <v>0</v>
          </cell>
          <cell r="T25">
            <v>0</v>
          </cell>
          <cell r="Y25" t="str">
            <v>Ene/93</v>
          </cell>
          <cell r="Z25">
            <v>0</v>
          </cell>
          <cell r="AA25">
            <v>0</v>
          </cell>
          <cell r="AB25">
            <v>0</v>
          </cell>
          <cell r="AD25">
            <v>0</v>
          </cell>
          <cell r="AE25">
            <v>0</v>
          </cell>
        </row>
        <row r="26">
          <cell r="C26" t="str">
            <v>Feb</v>
          </cell>
          <cell r="D26">
            <v>40683.953419999998</v>
          </cell>
          <cell r="E26">
            <v>84177.152990000002</v>
          </cell>
          <cell r="F26">
            <v>33469.500160000003</v>
          </cell>
          <cell r="G26">
            <v>19947.53514</v>
          </cell>
          <cell r="I26">
            <v>178278.14171</v>
          </cell>
          <cell r="J26">
            <v>300920.37667999999</v>
          </cell>
          <cell r="O26" t="str">
            <v>Feb</v>
          </cell>
          <cell r="P26">
            <v>0</v>
          </cell>
          <cell r="Q26">
            <v>0</v>
          </cell>
          <cell r="R26">
            <v>0</v>
          </cell>
          <cell r="S26">
            <v>0</v>
          </cell>
          <cell r="T26">
            <v>0</v>
          </cell>
          <cell r="Y26" t="str">
            <v>Feb</v>
          </cell>
          <cell r="Z26">
            <v>0</v>
          </cell>
          <cell r="AA26">
            <v>0</v>
          </cell>
          <cell r="AB26">
            <v>0</v>
          </cell>
          <cell r="AD26">
            <v>0</v>
          </cell>
          <cell r="AE26">
            <v>0</v>
          </cell>
        </row>
        <row r="27">
          <cell r="C27" t="str">
            <v>Mar</v>
          </cell>
          <cell r="D27">
            <v>65350.022790000003</v>
          </cell>
          <cell r="E27">
            <v>93550.699630000003</v>
          </cell>
          <cell r="F27">
            <v>48519.601139999999</v>
          </cell>
          <cell r="G27">
            <v>19575.386450000002</v>
          </cell>
          <cell r="I27">
            <v>226995.71001000001</v>
          </cell>
          <cell r="J27">
            <v>527916.08669000003</v>
          </cell>
          <cell r="O27" t="str">
            <v>Mar</v>
          </cell>
          <cell r="P27">
            <v>0</v>
          </cell>
          <cell r="Q27">
            <v>0</v>
          </cell>
          <cell r="R27">
            <v>0</v>
          </cell>
          <cell r="S27">
            <v>0</v>
          </cell>
          <cell r="T27">
            <v>0</v>
          </cell>
          <cell r="Y27" t="str">
            <v>Mar</v>
          </cell>
          <cell r="Z27">
            <v>0</v>
          </cell>
          <cell r="AA27">
            <v>0</v>
          </cell>
          <cell r="AB27">
            <v>0</v>
          </cell>
          <cell r="AD27">
            <v>0</v>
          </cell>
          <cell r="AE27">
            <v>0</v>
          </cell>
        </row>
        <row r="28">
          <cell r="C28" t="str">
            <v>Abr</v>
          </cell>
          <cell r="D28">
            <v>57920.03671</v>
          </cell>
          <cell r="E28">
            <v>118624.52353000001</v>
          </cell>
          <cell r="F28">
            <v>44640.802329999999</v>
          </cell>
          <cell r="G28">
            <v>34349.11073</v>
          </cell>
          <cell r="I28">
            <v>255534.47330000001</v>
          </cell>
          <cell r="J28">
            <v>783450.55998999998</v>
          </cell>
          <cell r="O28" t="str">
            <v>Abr</v>
          </cell>
          <cell r="P28">
            <v>0</v>
          </cell>
          <cell r="Q28">
            <v>0</v>
          </cell>
          <cell r="R28">
            <v>0</v>
          </cell>
          <cell r="S28">
            <v>0</v>
          </cell>
          <cell r="T28">
            <v>0</v>
          </cell>
          <cell r="Y28" t="str">
            <v>Abr</v>
          </cell>
          <cell r="Z28">
            <v>0</v>
          </cell>
          <cell r="AA28">
            <v>0</v>
          </cell>
          <cell r="AB28">
            <v>0</v>
          </cell>
          <cell r="AD28">
            <v>0</v>
          </cell>
          <cell r="AE28">
            <v>0</v>
          </cell>
        </row>
        <row r="29">
          <cell r="C29" t="str">
            <v>May</v>
          </cell>
          <cell r="D29">
            <v>81486.929959999994</v>
          </cell>
          <cell r="E29">
            <v>166883.22302999999</v>
          </cell>
          <cell r="F29">
            <v>51822.981200000002</v>
          </cell>
          <cell r="G29">
            <v>49345.340120000001</v>
          </cell>
          <cell r="I29">
            <v>349538.47431000002</v>
          </cell>
          <cell r="J29">
            <v>1132989.0342999999</v>
          </cell>
          <cell r="O29" t="str">
            <v>May</v>
          </cell>
          <cell r="P29">
            <v>0</v>
          </cell>
          <cell r="Q29">
            <v>0</v>
          </cell>
          <cell r="R29">
            <v>0</v>
          </cell>
          <cell r="S29">
            <v>0</v>
          </cell>
          <cell r="T29">
            <v>0</v>
          </cell>
          <cell r="Y29" t="str">
            <v>May</v>
          </cell>
          <cell r="Z29">
            <v>0</v>
          </cell>
          <cell r="AA29">
            <v>0</v>
          </cell>
          <cell r="AB29">
            <v>0</v>
          </cell>
          <cell r="AD29">
            <v>0</v>
          </cell>
          <cell r="AE29">
            <v>0</v>
          </cell>
        </row>
        <row r="30">
          <cell r="C30" t="str">
            <v>Jun</v>
          </cell>
          <cell r="D30">
            <v>77198.400869999998</v>
          </cell>
          <cell r="E30">
            <v>196376.38672000001</v>
          </cell>
          <cell r="F30">
            <v>76262.833329999994</v>
          </cell>
          <cell r="G30">
            <v>72506.699349999995</v>
          </cell>
          <cell r="I30">
            <v>422344.32027000003</v>
          </cell>
          <cell r="J30">
            <v>1555333.35457</v>
          </cell>
          <cell r="O30" t="str">
            <v>Jun</v>
          </cell>
          <cell r="P30">
            <v>0</v>
          </cell>
          <cell r="Q30">
            <v>0</v>
          </cell>
          <cell r="R30">
            <v>0</v>
          </cell>
          <cell r="S30">
            <v>0</v>
          </cell>
          <cell r="T30">
            <v>0</v>
          </cell>
          <cell r="Y30" t="str">
            <v>Jun</v>
          </cell>
          <cell r="Z30">
            <v>0</v>
          </cell>
          <cell r="AA30">
            <v>0</v>
          </cell>
          <cell r="AB30">
            <v>0</v>
          </cell>
          <cell r="AD30">
            <v>0</v>
          </cell>
          <cell r="AE30">
            <v>0</v>
          </cell>
        </row>
        <row r="31">
          <cell r="C31" t="str">
            <v>Jul</v>
          </cell>
          <cell r="D31">
            <v>71646.485990000001</v>
          </cell>
          <cell r="E31">
            <v>96500.261679999996</v>
          </cell>
          <cell r="F31">
            <v>54008.703730000001</v>
          </cell>
          <cell r="G31">
            <v>49172.853779999998</v>
          </cell>
          <cell r="I31">
            <v>271328.30518000002</v>
          </cell>
          <cell r="J31">
            <v>1826661.6597500001</v>
          </cell>
          <cell r="O31" t="str">
            <v>Jul</v>
          </cell>
          <cell r="P31">
            <v>0</v>
          </cell>
          <cell r="Q31">
            <v>0</v>
          </cell>
          <cell r="R31">
            <v>0</v>
          </cell>
          <cell r="S31">
            <v>0</v>
          </cell>
          <cell r="T31">
            <v>0</v>
          </cell>
          <cell r="Y31" t="str">
            <v>Jul</v>
          </cell>
          <cell r="Z31">
            <v>0</v>
          </cell>
          <cell r="AA31">
            <v>0</v>
          </cell>
          <cell r="AB31">
            <v>0</v>
          </cell>
          <cell r="AD31">
            <v>0</v>
          </cell>
          <cell r="AE31">
            <v>0</v>
          </cell>
        </row>
        <row r="32">
          <cell r="C32" t="str">
            <v>Ago</v>
          </cell>
          <cell r="D32">
            <v>74645.982380000001</v>
          </cell>
          <cell r="E32">
            <v>80957.482440000007</v>
          </cell>
          <cell r="F32">
            <v>41071.064689999999</v>
          </cell>
          <cell r="G32">
            <v>72102.743210000001</v>
          </cell>
          <cell r="I32">
            <v>268777.27272000001</v>
          </cell>
          <cell r="J32">
            <v>2095438.9324700001</v>
          </cell>
          <cell r="O32" t="str">
            <v>Ago</v>
          </cell>
          <cell r="P32">
            <v>0</v>
          </cell>
          <cell r="Q32">
            <v>0</v>
          </cell>
          <cell r="R32">
            <v>0</v>
          </cell>
          <cell r="S32">
            <v>0</v>
          </cell>
          <cell r="T32">
            <v>0</v>
          </cell>
          <cell r="Y32" t="str">
            <v>Ago</v>
          </cell>
          <cell r="Z32">
            <v>0</v>
          </cell>
          <cell r="AA32">
            <v>0</v>
          </cell>
          <cell r="AB32">
            <v>0</v>
          </cell>
          <cell r="AD32">
            <v>0</v>
          </cell>
          <cell r="AE32">
            <v>0</v>
          </cell>
        </row>
        <row r="33">
          <cell r="C33" t="str">
            <v>Sep</v>
          </cell>
          <cell r="D33">
            <v>61686.985249999998</v>
          </cell>
          <cell r="E33">
            <v>94210.686660000007</v>
          </cell>
          <cell r="F33">
            <v>49176.18219</v>
          </cell>
          <cell r="G33">
            <v>52466.730109999997</v>
          </cell>
          <cell r="I33">
            <v>257540.58421</v>
          </cell>
          <cell r="J33">
            <v>2352979.5166800003</v>
          </cell>
          <cell r="O33" t="str">
            <v>Sep</v>
          </cell>
          <cell r="P33">
            <v>0</v>
          </cell>
          <cell r="Q33">
            <v>0</v>
          </cell>
          <cell r="R33">
            <v>0</v>
          </cell>
          <cell r="S33">
            <v>0</v>
          </cell>
          <cell r="T33">
            <v>0</v>
          </cell>
          <cell r="Y33" t="str">
            <v>Sep</v>
          </cell>
          <cell r="Z33">
            <v>0</v>
          </cell>
          <cell r="AA33">
            <v>0</v>
          </cell>
          <cell r="AB33">
            <v>0</v>
          </cell>
          <cell r="AD33">
            <v>0</v>
          </cell>
          <cell r="AE33">
            <v>0</v>
          </cell>
        </row>
        <row r="34">
          <cell r="C34" t="str">
            <v>Oct</v>
          </cell>
          <cell r="D34">
            <v>49725.894390000001</v>
          </cell>
          <cell r="E34">
            <v>50325.549939999997</v>
          </cell>
          <cell r="F34">
            <v>59841.582900000001</v>
          </cell>
          <cell r="G34">
            <v>63327.290690000002</v>
          </cell>
          <cell r="I34">
            <v>223220.31792</v>
          </cell>
          <cell r="J34">
            <v>2576199.8346000002</v>
          </cell>
          <cell r="O34" t="str">
            <v>Oct*</v>
          </cell>
          <cell r="P34">
            <v>0</v>
          </cell>
          <cell r="Q34">
            <v>0</v>
          </cell>
          <cell r="R34">
            <v>0</v>
          </cell>
          <cell r="S34">
            <v>0</v>
          </cell>
          <cell r="T34">
            <v>0</v>
          </cell>
          <cell r="Y34" t="str">
            <v>Oct*</v>
          </cell>
          <cell r="Z34">
            <v>0</v>
          </cell>
          <cell r="AA34">
            <v>0</v>
          </cell>
          <cell r="AB34">
            <v>0</v>
          </cell>
          <cell r="AD34">
            <v>0</v>
          </cell>
          <cell r="AE34">
            <v>0</v>
          </cell>
        </row>
        <row r="35">
          <cell r="C35" t="str">
            <v>Nov</v>
          </cell>
          <cell r="D35">
            <v>73458.465620000003</v>
          </cell>
          <cell r="E35">
            <v>58802.51902</v>
          </cell>
          <cell r="F35">
            <v>48203.709430000003</v>
          </cell>
          <cell r="G35">
            <v>43088.265059999998</v>
          </cell>
          <cell r="I35">
            <v>223552.95913</v>
          </cell>
          <cell r="J35">
            <v>2799752.79373</v>
          </cell>
          <cell r="O35" t="str">
            <v>Nov*</v>
          </cell>
          <cell r="P35">
            <v>0</v>
          </cell>
          <cell r="Q35">
            <v>0</v>
          </cell>
          <cell r="R35">
            <v>0</v>
          </cell>
          <cell r="S35">
            <v>0</v>
          </cell>
          <cell r="T35">
            <v>0</v>
          </cell>
          <cell r="Y35" t="str">
            <v>Nov*</v>
          </cell>
          <cell r="Z35">
            <v>0</v>
          </cell>
          <cell r="AA35">
            <v>0</v>
          </cell>
          <cell r="AB35">
            <v>0</v>
          </cell>
          <cell r="AD35">
            <v>0</v>
          </cell>
          <cell r="AE35">
            <v>0</v>
          </cell>
        </row>
        <row r="36">
          <cell r="C36" t="str">
            <v>Dic*</v>
          </cell>
          <cell r="D36">
            <v>38267.381179999997</v>
          </cell>
          <cell r="E36">
            <v>61910.056080000002</v>
          </cell>
          <cell r="F36">
            <v>90751.412259999997</v>
          </cell>
          <cell r="G36">
            <v>49646.904309999998</v>
          </cell>
          <cell r="I36">
            <v>240575.75383</v>
          </cell>
          <cell r="J36">
            <v>3040328.5475599999</v>
          </cell>
          <cell r="O36" t="str">
            <v>Dic*</v>
          </cell>
          <cell r="P36">
            <v>0</v>
          </cell>
          <cell r="Q36">
            <v>0</v>
          </cell>
          <cell r="R36">
            <v>0</v>
          </cell>
          <cell r="S36">
            <v>0</v>
          </cell>
          <cell r="T36">
            <v>0</v>
          </cell>
          <cell r="Y36" t="str">
            <v>Dic*</v>
          </cell>
          <cell r="Z36">
            <v>0</v>
          </cell>
          <cell r="AA36">
            <v>0</v>
          </cell>
          <cell r="AB36">
            <v>0</v>
          </cell>
          <cell r="AD36">
            <v>0</v>
          </cell>
          <cell r="AE36">
            <v>0</v>
          </cell>
        </row>
        <row r="37">
          <cell r="B37">
            <v>1994</v>
          </cell>
          <cell r="C37" t="str">
            <v>Ene</v>
          </cell>
          <cell r="D37">
            <v>52309.503879999997</v>
          </cell>
          <cell r="E37">
            <v>60242.882149999998</v>
          </cell>
          <cell r="F37">
            <v>89650.704140000002</v>
          </cell>
          <cell r="G37">
            <v>9462.7562500000004</v>
          </cell>
          <cell r="I37">
            <v>211665.84641999999</v>
          </cell>
          <cell r="J37">
            <v>211665.84641999999</v>
          </cell>
          <cell r="N37">
            <v>1994</v>
          </cell>
          <cell r="O37" t="str">
            <v>Ene</v>
          </cell>
          <cell r="P37">
            <v>98856.574869999997</v>
          </cell>
          <cell r="Q37">
            <v>4289.4307799999997</v>
          </cell>
          <cell r="R37">
            <v>36038.230360000001</v>
          </cell>
          <cell r="S37">
            <v>-58487.178059999998</v>
          </cell>
          <cell r="T37">
            <v>80697.057950000002</v>
          </cell>
          <cell r="X37">
            <v>1994</v>
          </cell>
          <cell r="Y37" t="str">
            <v>Ene</v>
          </cell>
          <cell r="Z37">
            <v>-4908.22703</v>
          </cell>
          <cell r="AA37">
            <v>80697.057950000002</v>
          </cell>
          <cell r="AB37">
            <v>44490.059780000003</v>
          </cell>
          <cell r="AD37">
            <v>120278.89070000002</v>
          </cell>
          <cell r="AE37">
            <v>120278.89070000002</v>
          </cell>
        </row>
        <row r="38">
          <cell r="C38" t="str">
            <v>Feb</v>
          </cell>
          <cell r="D38">
            <v>64373.86765</v>
          </cell>
          <cell r="E38">
            <v>61938.00589</v>
          </cell>
          <cell r="F38">
            <v>72270.177389999997</v>
          </cell>
          <cell r="G38">
            <v>28929.449619999999</v>
          </cell>
          <cell r="I38">
            <v>227511.50055</v>
          </cell>
          <cell r="J38">
            <v>439177.34696999996</v>
          </cell>
          <cell r="O38" t="str">
            <v>Feb</v>
          </cell>
          <cell r="P38">
            <v>64279.223619999997</v>
          </cell>
          <cell r="Q38">
            <v>54150.321340000002</v>
          </cell>
          <cell r="R38">
            <v>-828.8905299999999</v>
          </cell>
          <cell r="S38">
            <v>-72515.964080000005</v>
          </cell>
          <cell r="T38">
            <v>45084.690349999997</v>
          </cell>
          <cell r="Y38" t="str">
            <v>Feb</v>
          </cell>
          <cell r="Z38">
            <v>11986.49914</v>
          </cell>
          <cell r="AA38">
            <v>45084.690349999997</v>
          </cell>
          <cell r="AB38">
            <v>34718.121619999998</v>
          </cell>
          <cell r="AD38">
            <v>91789.311109999995</v>
          </cell>
          <cell r="AE38">
            <v>212068.20181</v>
          </cell>
        </row>
        <row r="39">
          <cell r="C39" t="str">
            <v>Mar</v>
          </cell>
          <cell r="D39">
            <v>73804.892139999996</v>
          </cell>
          <cell r="E39">
            <v>61026.077149999997</v>
          </cell>
          <cell r="F39">
            <v>149632.56168000001</v>
          </cell>
          <cell r="G39">
            <v>27905.126489999999</v>
          </cell>
          <cell r="I39">
            <v>312368.65746000002</v>
          </cell>
          <cell r="J39">
            <v>751546.00442999997</v>
          </cell>
          <cell r="O39" t="str">
            <v>Mar</v>
          </cell>
          <cell r="P39">
            <v>129551.92991000001</v>
          </cell>
          <cell r="Q39">
            <v>9726.9258000000009</v>
          </cell>
          <cell r="R39">
            <v>10458.380590000001</v>
          </cell>
          <cell r="S39">
            <v>-62354.540079999999</v>
          </cell>
          <cell r="T39">
            <v>87382.696219999998</v>
          </cell>
          <cell r="Y39" t="str">
            <v>Mar</v>
          </cell>
          <cell r="Z39">
            <v>-37545.162400000001</v>
          </cell>
          <cell r="AA39">
            <v>87382.696219999998</v>
          </cell>
          <cell r="AB39">
            <v>-300</v>
          </cell>
          <cell r="AD39">
            <v>49537.533819999997</v>
          </cell>
          <cell r="AE39">
            <v>261605.73563000001</v>
          </cell>
        </row>
        <row r="40">
          <cell r="C40" t="str">
            <v>Abr</v>
          </cell>
          <cell r="D40">
            <v>73059.445259999993</v>
          </cell>
          <cell r="E40">
            <v>69096.412479999999</v>
          </cell>
          <cell r="F40">
            <v>80471.967480000007</v>
          </cell>
          <cell r="G40">
            <v>33748.590669999998</v>
          </cell>
          <cell r="I40">
            <v>256376.41589</v>
          </cell>
          <cell r="J40">
            <v>1007922.42032</v>
          </cell>
          <cell r="O40" t="str">
            <v>Abr</v>
          </cell>
          <cell r="P40">
            <v>47093.828269999998</v>
          </cell>
          <cell r="Q40">
            <v>-3644.83925</v>
          </cell>
          <cell r="R40">
            <v>-117689.03946</v>
          </cell>
          <cell r="S40">
            <v>29204.909790000002</v>
          </cell>
          <cell r="T40">
            <v>-45035.140650000001</v>
          </cell>
          <cell r="Y40" t="str">
            <v>Abr</v>
          </cell>
          <cell r="Z40">
            <v>-211922.83567</v>
          </cell>
          <cell r="AA40">
            <v>-45035.140650000001</v>
          </cell>
          <cell r="AB40">
            <v>7100</v>
          </cell>
          <cell r="AD40">
            <v>-249857.97632000002</v>
          </cell>
          <cell r="AE40">
            <v>11747.759309999994</v>
          </cell>
        </row>
        <row r="41">
          <cell r="C41" t="str">
            <v>May</v>
          </cell>
          <cell r="D41">
            <v>89141.745869999999</v>
          </cell>
          <cell r="E41">
            <v>73205.126600000003</v>
          </cell>
          <cell r="F41">
            <v>77062.059139999998</v>
          </cell>
          <cell r="G41">
            <v>50202.986570000001</v>
          </cell>
          <cell r="I41">
            <v>289611.91817999998</v>
          </cell>
          <cell r="J41">
            <v>1297534.3385000001</v>
          </cell>
          <cell r="O41" t="str">
            <v>May</v>
          </cell>
          <cell r="P41">
            <v>77540.745519999997</v>
          </cell>
          <cell r="Q41">
            <v>46822.13841</v>
          </cell>
          <cell r="R41">
            <v>17791.5088</v>
          </cell>
          <cell r="S41">
            <v>-67474.35411</v>
          </cell>
          <cell r="T41">
            <v>74680.038620000007</v>
          </cell>
          <cell r="Y41" t="str">
            <v>May</v>
          </cell>
          <cell r="Z41">
            <v>-80495.011620000005</v>
          </cell>
          <cell r="AA41">
            <v>74680.038620000007</v>
          </cell>
          <cell r="AB41">
            <v>-24400</v>
          </cell>
          <cell r="AD41">
            <v>-30214.972999999998</v>
          </cell>
          <cell r="AE41">
            <v>-18467.213690000004</v>
          </cell>
        </row>
        <row r="42">
          <cell r="C42" t="str">
            <v>Jun</v>
          </cell>
          <cell r="D42">
            <v>28983.359229999998</v>
          </cell>
          <cell r="E42">
            <v>73202.831709999999</v>
          </cell>
          <cell r="F42">
            <v>84461.793130000005</v>
          </cell>
          <cell r="G42">
            <v>35883.778319999998</v>
          </cell>
          <cell r="I42">
            <v>222531.76238999999</v>
          </cell>
          <cell r="J42">
            <v>1520066.1008900001</v>
          </cell>
          <cell r="O42" t="str">
            <v>Jun</v>
          </cell>
          <cell r="P42">
            <v>81499.983550000004</v>
          </cell>
          <cell r="Q42">
            <v>47933.055240000002</v>
          </cell>
          <cell r="R42">
            <v>78901.906310000006</v>
          </cell>
          <cell r="S42">
            <v>50103.131099999999</v>
          </cell>
          <cell r="T42">
            <v>258438.07620000001</v>
          </cell>
          <cell r="Y42" t="str">
            <v>Jun</v>
          </cell>
          <cell r="Z42">
            <v>-198288.44552000001</v>
          </cell>
          <cell r="AA42">
            <v>258438.07620000001</v>
          </cell>
          <cell r="AB42">
            <v>78000</v>
          </cell>
          <cell r="AD42">
            <v>138149.63068</v>
          </cell>
          <cell r="AE42">
            <v>119682.41699</v>
          </cell>
        </row>
        <row r="43">
          <cell r="C43" t="str">
            <v>Jul</v>
          </cell>
          <cell r="D43">
            <v>26809.723010000002</v>
          </cell>
          <cell r="E43">
            <v>53870.473660000003</v>
          </cell>
          <cell r="F43">
            <v>99130.333379999996</v>
          </cell>
          <cell r="G43">
            <v>40250.966249999998</v>
          </cell>
          <cell r="I43">
            <v>220061.4963</v>
          </cell>
          <cell r="J43">
            <v>1740127.5971900001</v>
          </cell>
          <cell r="O43" t="str">
            <v>Jul</v>
          </cell>
          <cell r="P43">
            <v>57597.961060000001</v>
          </cell>
          <cell r="Q43">
            <v>45992.493949999996</v>
          </cell>
          <cell r="R43">
            <v>6421.5344699999996</v>
          </cell>
          <cell r="S43">
            <v>19696.643769999999</v>
          </cell>
          <cell r="T43">
            <v>129708.63325</v>
          </cell>
          <cell r="Y43" t="str">
            <v>Jul</v>
          </cell>
          <cell r="Z43">
            <v>-157479.63325000001</v>
          </cell>
          <cell r="AA43">
            <v>129708.63325</v>
          </cell>
          <cell r="AB43">
            <v>6300</v>
          </cell>
          <cell r="AD43">
            <v>-21471.000000000015</v>
          </cell>
          <cell r="AE43">
            <v>98211.416989999983</v>
          </cell>
        </row>
        <row r="44">
          <cell r="C44" t="str">
            <v>Ago</v>
          </cell>
          <cell r="D44">
            <v>46806.30833</v>
          </cell>
          <cell r="E44">
            <v>86839.308529999995</v>
          </cell>
          <cell r="F44">
            <v>118279.30605</v>
          </cell>
          <cell r="G44">
            <v>56747.821629999999</v>
          </cell>
          <cell r="I44">
            <v>308672.74453999999</v>
          </cell>
          <cell r="J44">
            <v>2048800.34173</v>
          </cell>
          <cell r="O44" t="str">
            <v>Ago</v>
          </cell>
          <cell r="P44">
            <v>177739.83257999999</v>
          </cell>
          <cell r="Q44">
            <v>60334.076099999998</v>
          </cell>
          <cell r="R44">
            <v>-39035.508719999998</v>
          </cell>
          <cell r="S44">
            <v>89581.632180000001</v>
          </cell>
          <cell r="T44">
            <v>288620.03214000002</v>
          </cell>
          <cell r="Y44" t="str">
            <v>Ago</v>
          </cell>
          <cell r="Z44">
            <v>-261226.38242000001</v>
          </cell>
          <cell r="AA44">
            <v>288620.03214000002</v>
          </cell>
          <cell r="AB44">
            <v>-23400</v>
          </cell>
          <cell r="AD44">
            <v>3993.6497200000158</v>
          </cell>
          <cell r="AE44">
            <v>102205.06671</v>
          </cell>
        </row>
        <row r="45">
          <cell r="C45" t="str">
            <v>Sep</v>
          </cell>
          <cell r="D45">
            <v>50895.738290000001</v>
          </cell>
          <cell r="E45">
            <v>89909.724260000003</v>
          </cell>
          <cell r="F45">
            <v>155005.60112000001</v>
          </cell>
          <cell r="G45">
            <v>45676.038439999997</v>
          </cell>
          <cell r="I45">
            <v>341487.10210999998</v>
          </cell>
          <cell r="J45">
            <v>2390287.4438399998</v>
          </cell>
          <cell r="O45" t="str">
            <v>Sep</v>
          </cell>
          <cell r="P45">
            <v>216333.40627000001</v>
          </cell>
          <cell r="Q45">
            <v>50085.761939999997</v>
          </cell>
          <cell r="R45">
            <v>-205960.07115999999</v>
          </cell>
          <cell r="S45">
            <v>-66595.684150000001</v>
          </cell>
          <cell r="T45">
            <v>-6136.5870999999997</v>
          </cell>
          <cell r="Y45" t="str">
            <v>Sep</v>
          </cell>
          <cell r="Z45">
            <v>-194206.77778</v>
          </cell>
          <cell r="AA45">
            <v>-6136.5870999999997</v>
          </cell>
          <cell r="AB45">
            <v>4100</v>
          </cell>
          <cell r="AD45">
            <v>-196243.36488000001</v>
          </cell>
          <cell r="AE45">
            <v>-94038.298170000009</v>
          </cell>
        </row>
        <row r="46">
          <cell r="C46" t="str">
            <v>Oct</v>
          </cell>
          <cell r="D46">
            <v>48493.281779999998</v>
          </cell>
          <cell r="E46">
            <v>70984.330579999994</v>
          </cell>
          <cell r="F46">
            <v>114169.16753000001</v>
          </cell>
          <cell r="G46">
            <v>63604.113019999997</v>
          </cell>
          <cell r="I46">
            <v>297250.89291</v>
          </cell>
          <cell r="J46">
            <v>2687538.3367499998</v>
          </cell>
          <cell r="O46" t="str">
            <v>Oct</v>
          </cell>
          <cell r="P46">
            <v>172969.08447</v>
          </cell>
          <cell r="Q46">
            <v>45239.316630000001</v>
          </cell>
          <cell r="R46">
            <v>411723.13660000003</v>
          </cell>
          <cell r="S46">
            <v>-393317.60996999999</v>
          </cell>
          <cell r="T46">
            <v>236613.92773</v>
          </cell>
          <cell r="Y46" t="str">
            <v>Oct</v>
          </cell>
          <cell r="Z46">
            <v>-274095.51711999997</v>
          </cell>
          <cell r="AA46">
            <v>236613.92773</v>
          </cell>
          <cell r="AB46">
            <v>54200</v>
          </cell>
          <cell r="AD46">
            <v>16718.410610000021</v>
          </cell>
          <cell r="AE46">
            <v>-77319.887559999988</v>
          </cell>
        </row>
        <row r="47">
          <cell r="C47" t="str">
            <v>Nov</v>
          </cell>
          <cell r="D47">
            <v>47797.082909999997</v>
          </cell>
          <cell r="E47">
            <v>68346.038339999999</v>
          </cell>
          <cell r="F47">
            <v>128588.14045000001</v>
          </cell>
          <cell r="G47">
            <v>38600.24901</v>
          </cell>
          <cell r="I47">
            <v>283331.51071</v>
          </cell>
          <cell r="J47">
            <v>2970869.8474599998</v>
          </cell>
          <cell r="O47" t="str">
            <v>Nov</v>
          </cell>
          <cell r="P47">
            <v>228192.99898999999</v>
          </cell>
          <cell r="Q47">
            <v>74313.191720000003</v>
          </cell>
          <cell r="R47">
            <v>-492267.71341999999</v>
          </cell>
          <cell r="S47">
            <v>396268.53165999998</v>
          </cell>
          <cell r="T47">
            <v>206507.00894999999</v>
          </cell>
          <cell r="Y47" t="str">
            <v>Nov</v>
          </cell>
          <cell r="Z47">
            <v>-174322.05843</v>
          </cell>
          <cell r="AA47">
            <v>206507.00894999999</v>
          </cell>
          <cell r="AB47">
            <v>-94700</v>
          </cell>
          <cell r="AD47">
            <v>-62515.049480000016</v>
          </cell>
          <cell r="AE47">
            <v>-139834.93703999999</v>
          </cell>
        </row>
        <row r="48">
          <cell r="C48" t="str">
            <v>Dic</v>
          </cell>
          <cell r="D48">
            <v>43863.74469</v>
          </cell>
          <cell r="E48">
            <v>66387.114029999997</v>
          </cell>
          <cell r="F48">
            <v>153399.67124</v>
          </cell>
          <cell r="G48">
            <v>29204.404569999999</v>
          </cell>
          <cell r="I48">
            <v>292854.93453000003</v>
          </cell>
          <cell r="J48">
            <v>3263724.78199</v>
          </cell>
          <cell r="O48" t="str">
            <v>Dic</v>
          </cell>
          <cell r="P48">
            <v>467034.03188000002</v>
          </cell>
          <cell r="Q48">
            <v>175005.48923000001</v>
          </cell>
          <cell r="R48">
            <v>97280.945909999995</v>
          </cell>
          <cell r="S48">
            <v>-52859.75389</v>
          </cell>
          <cell r="T48">
            <v>686460.71313000005</v>
          </cell>
          <cell r="Y48" t="str">
            <v>Dic</v>
          </cell>
          <cell r="Z48">
            <v>-332204.55943999998</v>
          </cell>
          <cell r="AA48">
            <v>686460.71313000005</v>
          </cell>
          <cell r="AB48">
            <v>-81108.181400000001</v>
          </cell>
          <cell r="AD48">
            <v>273147.97229000006</v>
          </cell>
          <cell r="AE48">
            <v>133313.03525000007</v>
          </cell>
        </row>
        <row r="49">
          <cell r="B49">
            <v>1995</v>
          </cell>
          <cell r="C49" t="str">
            <v>Ene</v>
          </cell>
          <cell r="D49">
            <v>41711.25877</v>
          </cell>
          <cell r="E49">
            <v>63400.035909999999</v>
          </cell>
          <cell r="F49">
            <v>128962.54674999999</v>
          </cell>
          <cell r="G49">
            <v>24618.388719999999</v>
          </cell>
          <cell r="I49">
            <v>258692.23014999999</v>
          </cell>
          <cell r="J49">
            <v>258692.23014999999</v>
          </cell>
          <cell r="N49">
            <v>1995</v>
          </cell>
          <cell r="O49" t="str">
            <v>Ene</v>
          </cell>
          <cell r="P49">
            <v>143569.62966999999</v>
          </cell>
          <cell r="Q49">
            <v>48357.10555</v>
          </cell>
          <cell r="R49">
            <v>24618.561959999999</v>
          </cell>
          <cell r="S49">
            <v>122751.70388930275</v>
          </cell>
          <cell r="T49">
            <v>339297.00106930273</v>
          </cell>
          <cell r="X49">
            <v>1995</v>
          </cell>
          <cell r="Y49" t="str">
            <v>Ene</v>
          </cell>
          <cell r="Z49">
            <v>-477955.06040999998</v>
          </cell>
          <cell r="AA49">
            <v>339297.00106930273</v>
          </cell>
          <cell r="AB49">
            <v>87100</v>
          </cell>
          <cell r="AD49">
            <v>-51558.059340697248</v>
          </cell>
          <cell r="AE49">
            <v>-51558.059340697248</v>
          </cell>
        </row>
        <row r="50">
          <cell r="C50" t="str">
            <v>Feb</v>
          </cell>
          <cell r="D50">
            <v>38329.761680000003</v>
          </cell>
          <cell r="E50">
            <v>84006.784180000002</v>
          </cell>
          <cell r="F50">
            <v>112723.14274</v>
          </cell>
          <cell r="G50">
            <v>61941.215210000002</v>
          </cell>
          <cell r="I50">
            <v>297000.90380999999</v>
          </cell>
          <cell r="J50">
            <v>555693.13396000001</v>
          </cell>
          <cell r="O50" t="str">
            <v>Feb</v>
          </cell>
          <cell r="P50">
            <v>167235.90609</v>
          </cell>
          <cell r="Q50">
            <v>-33118.975530000003</v>
          </cell>
          <cell r="R50">
            <v>21680.152890000001</v>
          </cell>
          <cell r="S50">
            <v>99878.838681691719</v>
          </cell>
          <cell r="T50">
            <v>255675.92213169171</v>
          </cell>
          <cell r="Y50" t="str">
            <v>Feb</v>
          </cell>
          <cell r="Z50">
            <v>-205466.01811999999</v>
          </cell>
          <cell r="AA50">
            <v>255675.92213169171</v>
          </cell>
          <cell r="AB50">
            <v>81900</v>
          </cell>
          <cell r="AD50">
            <v>132109.90401169172</v>
          </cell>
          <cell r="AE50">
            <v>80551.844670994469</v>
          </cell>
        </row>
        <row r="51">
          <cell r="C51" t="str">
            <v>Mar</v>
          </cell>
          <cell r="D51">
            <v>39958.250529999998</v>
          </cell>
          <cell r="E51">
            <v>84447.491559999995</v>
          </cell>
          <cell r="F51">
            <v>117271.22602</v>
          </cell>
          <cell r="G51">
            <v>102748.03232</v>
          </cell>
          <cell r="I51">
            <v>344425.00043000001</v>
          </cell>
          <cell r="J51">
            <v>900118.13439000002</v>
          </cell>
          <cell r="O51" t="str">
            <v>Mar</v>
          </cell>
          <cell r="P51">
            <v>62144.35007</v>
          </cell>
          <cell r="Q51">
            <v>30581.720700000002</v>
          </cell>
          <cell r="R51">
            <v>99740.515159999995</v>
          </cell>
          <cell r="S51">
            <v>39033.927901390503</v>
          </cell>
          <cell r="T51">
            <v>231500.5138313905</v>
          </cell>
          <cell r="Y51" t="str">
            <v>Mar</v>
          </cell>
          <cell r="Z51">
            <v>-176885.52640999999</v>
          </cell>
          <cell r="AA51">
            <v>231500.5138313905</v>
          </cell>
          <cell r="AB51">
            <v>176000</v>
          </cell>
          <cell r="AD51">
            <v>230614.98742139051</v>
          </cell>
          <cell r="AE51">
            <v>311166.83209238498</v>
          </cell>
        </row>
        <row r="52">
          <cell r="C52" t="str">
            <v>Abr</v>
          </cell>
          <cell r="D52">
            <v>70180.781560000003</v>
          </cell>
          <cell r="E52">
            <v>61651.118499999997</v>
          </cell>
          <cell r="F52">
            <v>80738.672919999997</v>
          </cell>
          <cell r="G52">
            <v>63062.4732</v>
          </cell>
          <cell r="I52">
            <v>275633.04618</v>
          </cell>
          <cell r="J52">
            <v>1175751.1805700001</v>
          </cell>
          <cell r="O52" t="str">
            <v>Abr</v>
          </cell>
          <cell r="P52">
            <v>55584.171750000001</v>
          </cell>
          <cell r="Q52">
            <v>82985.410140000007</v>
          </cell>
          <cell r="R52">
            <v>130551.51465</v>
          </cell>
          <cell r="S52">
            <v>50044.918176803003</v>
          </cell>
          <cell r="T52">
            <v>319166.01471680298</v>
          </cell>
          <cell r="Y52" t="str">
            <v>Abr</v>
          </cell>
          <cell r="Z52">
            <v>-239205.68786999999</v>
          </cell>
          <cell r="AA52">
            <v>319166.01471680298</v>
          </cell>
          <cell r="AB52">
            <v>15600</v>
          </cell>
          <cell r="AD52">
            <v>95560.326846802986</v>
          </cell>
          <cell r="AE52">
            <v>406727.158939188</v>
          </cell>
        </row>
        <row r="53">
          <cell r="C53" t="str">
            <v>May</v>
          </cell>
          <cell r="D53">
            <v>25562.6368</v>
          </cell>
          <cell r="E53">
            <v>58275.838250000001</v>
          </cell>
          <cell r="F53">
            <v>84679.832290000006</v>
          </cell>
          <cell r="G53">
            <v>88134.270560000004</v>
          </cell>
          <cell r="I53">
            <v>256652.5779</v>
          </cell>
          <cell r="J53">
            <v>1432403.75847</v>
          </cell>
          <cell r="O53" t="str">
            <v>May</v>
          </cell>
          <cell r="P53">
            <v>71191.692439999999</v>
          </cell>
          <cell r="Q53">
            <v>51272.074260000001</v>
          </cell>
          <cell r="R53">
            <v>2276.3267799999999</v>
          </cell>
          <cell r="S53">
            <v>81855.649012119626</v>
          </cell>
          <cell r="T53">
            <v>206595.74249211964</v>
          </cell>
          <cell r="Y53" t="str">
            <v>May</v>
          </cell>
          <cell r="Z53">
            <v>-117195.81692</v>
          </cell>
          <cell r="AA53">
            <v>206595.74249211964</v>
          </cell>
          <cell r="AB53">
            <v>20400</v>
          </cell>
          <cell r="AD53">
            <v>109799.92557211964</v>
          </cell>
          <cell r="AE53">
            <v>516527.08451130765</v>
          </cell>
        </row>
        <row r="54">
          <cell r="C54" t="str">
            <v>Jun</v>
          </cell>
          <cell r="D54">
            <v>20500.318159999999</v>
          </cell>
          <cell r="E54">
            <v>83019.513149999999</v>
          </cell>
          <cell r="F54">
            <v>93810.030249999996</v>
          </cell>
          <cell r="G54">
            <v>80447.631810000006</v>
          </cell>
          <cell r="I54">
            <v>277777.49336999998</v>
          </cell>
          <cell r="J54">
            <v>1710181.25184</v>
          </cell>
          <cell r="O54" t="str">
            <v>Jun</v>
          </cell>
          <cell r="P54">
            <v>113051.40820999999</v>
          </cell>
          <cell r="Q54">
            <v>77918.42611</v>
          </cell>
          <cell r="R54">
            <v>8972.4019499999995</v>
          </cell>
          <cell r="S54">
            <v>6495.8332846068433</v>
          </cell>
          <cell r="T54">
            <v>206438.06955460683</v>
          </cell>
          <cell r="Y54" t="str">
            <v>Jun</v>
          </cell>
          <cell r="Z54">
            <v>-156844.81007000001</v>
          </cell>
          <cell r="AA54">
            <v>206438.06955460683</v>
          </cell>
          <cell r="AB54">
            <v>-14300</v>
          </cell>
          <cell r="AD54">
            <v>35293.259484606824</v>
          </cell>
          <cell r="AE54">
            <v>551820.34399591445</v>
          </cell>
        </row>
        <row r="55">
          <cell r="C55" t="str">
            <v>Jul</v>
          </cell>
          <cell r="D55">
            <v>20631.327929999999</v>
          </cell>
          <cell r="E55">
            <v>59973.907809999997</v>
          </cell>
          <cell r="F55">
            <v>107877.99182</v>
          </cell>
          <cell r="G55">
            <v>93638.569520000005</v>
          </cell>
          <cell r="I55">
            <v>282121.79707999999</v>
          </cell>
          <cell r="J55">
            <v>1992303.04892</v>
          </cell>
          <cell r="O55" t="str">
            <v>Jul</v>
          </cell>
          <cell r="P55">
            <v>44918.940820000003</v>
          </cell>
          <cell r="Q55">
            <v>111383.95411000001</v>
          </cell>
          <cell r="R55">
            <v>9987.0619900000002</v>
          </cell>
          <cell r="S55">
            <v>63531.18312419299</v>
          </cell>
          <cell r="T55">
            <v>229821.14004419299</v>
          </cell>
          <cell r="Y55" t="str">
            <v>Jul</v>
          </cell>
          <cell r="Z55">
            <v>-176625.1643</v>
          </cell>
          <cell r="AA55">
            <v>229821.14004419299</v>
          </cell>
          <cell r="AB55">
            <v>-64100</v>
          </cell>
          <cell r="AD55">
            <v>-10904.024255807017</v>
          </cell>
          <cell r="AE55">
            <v>540916.3197401074</v>
          </cell>
        </row>
        <row r="56">
          <cell r="C56" t="str">
            <v>Ago</v>
          </cell>
          <cell r="D56">
            <v>28506.81336</v>
          </cell>
          <cell r="E56">
            <v>63388.673880000002</v>
          </cell>
          <cell r="F56">
            <v>105925.40003</v>
          </cell>
          <cell r="G56">
            <v>73020.323390000005</v>
          </cell>
          <cell r="I56">
            <v>270841.21065999998</v>
          </cell>
          <cell r="J56">
            <v>2263144.2595799998</v>
          </cell>
          <cell r="O56" t="str">
            <v>Ago</v>
          </cell>
          <cell r="P56">
            <v>183535.44448000001</v>
          </cell>
          <cell r="Q56">
            <v>-66648.095719999998</v>
          </cell>
          <cell r="R56">
            <v>-14091.56842</v>
          </cell>
          <cell r="S56">
            <v>-12424.589011947748</v>
          </cell>
          <cell r="T56">
            <v>90371.191328052257</v>
          </cell>
          <cell r="Y56" t="str">
            <v>Ago</v>
          </cell>
          <cell r="Z56">
            <v>-209246.42288999999</v>
          </cell>
          <cell r="AA56">
            <v>90371.191328052257</v>
          </cell>
          <cell r="AB56">
            <v>-143400</v>
          </cell>
          <cell r="AD56">
            <v>-262275.23156194773</v>
          </cell>
          <cell r="AE56">
            <v>278641.08817815967</v>
          </cell>
        </row>
        <row r="57">
          <cell r="C57" t="str">
            <v>Sep</v>
          </cell>
          <cell r="D57">
            <v>83793.364019999994</v>
          </cell>
          <cell r="E57">
            <v>76892.941269999996</v>
          </cell>
          <cell r="F57">
            <v>91811.859670000005</v>
          </cell>
          <cell r="G57">
            <v>47981.389439999999</v>
          </cell>
          <cell r="I57">
            <v>300479.55440000002</v>
          </cell>
          <cell r="J57">
            <v>2563623.8139800001</v>
          </cell>
          <cell r="O57" t="str">
            <v>Sep</v>
          </cell>
          <cell r="P57">
            <v>-18296.775539999999</v>
          </cell>
          <cell r="Q57">
            <v>36850.066509999997</v>
          </cell>
          <cell r="R57">
            <v>48733.607649999998</v>
          </cell>
          <cell r="S57">
            <v>20417.189695171648</v>
          </cell>
          <cell r="T57">
            <v>87704.088315171655</v>
          </cell>
          <cell r="Y57" t="str">
            <v>Sep</v>
          </cell>
          <cell r="Z57">
            <v>-116777.29058</v>
          </cell>
          <cell r="AA57">
            <v>87704.088315171655</v>
          </cell>
          <cell r="AB57">
            <v>72700</v>
          </cell>
          <cell r="AD57">
            <v>43626.797735171654</v>
          </cell>
          <cell r="AE57">
            <v>322267.88591333129</v>
          </cell>
        </row>
        <row r="58">
          <cell r="C58" t="str">
            <v>Oct</v>
          </cell>
          <cell r="D58">
            <v>27231.271949999998</v>
          </cell>
          <cell r="E58">
            <v>53995.978450000002</v>
          </cell>
          <cell r="F58">
            <v>105527.89139999999</v>
          </cell>
          <cell r="G58">
            <v>85835.413010000004</v>
          </cell>
          <cell r="I58">
            <v>272590.55481</v>
          </cell>
          <cell r="J58">
            <v>2836214.3687900002</v>
          </cell>
          <cell r="O58" t="str">
            <v>Oct</v>
          </cell>
          <cell r="P58">
            <v>87438.95074</v>
          </cell>
          <cell r="Q58">
            <v>25395.76252</v>
          </cell>
          <cell r="R58">
            <v>120971.30626</v>
          </cell>
          <cell r="S58">
            <v>-12243.83171350412</v>
          </cell>
          <cell r="T58">
            <v>221562.18780649587</v>
          </cell>
          <cell r="Y58" t="str">
            <v>Oct</v>
          </cell>
          <cell r="Z58">
            <v>-190856.47665999999</v>
          </cell>
          <cell r="AA58">
            <v>221562.18780649587</v>
          </cell>
          <cell r="AB58">
            <v>-3082.10898</v>
          </cell>
          <cell r="AD58">
            <v>27623.602166495886</v>
          </cell>
          <cell r="AE58">
            <v>349891.48807982716</v>
          </cell>
        </row>
        <row r="59">
          <cell r="C59" t="str">
            <v>Nov</v>
          </cell>
          <cell r="D59">
            <v>24002.866699999999</v>
          </cell>
          <cell r="E59">
            <v>46460.505270000001</v>
          </cell>
          <cell r="F59">
            <v>130948.7715</v>
          </cell>
          <cell r="G59">
            <v>96390.929170000003</v>
          </cell>
          <cell r="I59">
            <v>297803.07264000003</v>
          </cell>
          <cell r="J59">
            <v>3134017.4414300001</v>
          </cell>
          <cell r="O59" t="str">
            <v>Nov</v>
          </cell>
          <cell r="P59">
            <v>7998.7105700000002</v>
          </cell>
          <cell r="Q59">
            <v>51429.882189999997</v>
          </cell>
          <cell r="R59">
            <v>62644.161910000003</v>
          </cell>
          <cell r="S59">
            <v>124166.64094829815</v>
          </cell>
          <cell r="T59">
            <v>246239.39561829815</v>
          </cell>
          <cell r="Y59" t="str">
            <v>Nov</v>
          </cell>
          <cell r="Z59">
            <v>-274965.58091000002</v>
          </cell>
          <cell r="AA59">
            <v>246239.39561829815</v>
          </cell>
          <cell r="AB59">
            <v>-44336.783459999999</v>
          </cell>
          <cell r="AD59">
            <v>-73062.968751701876</v>
          </cell>
          <cell r="AE59">
            <v>276828.51932812529</v>
          </cell>
        </row>
        <row r="60">
          <cell r="C60" t="str">
            <v>Dic</v>
          </cell>
          <cell r="D60">
            <v>22633.610830000001</v>
          </cell>
          <cell r="E60">
            <v>51622.96774</v>
          </cell>
          <cell r="F60">
            <v>103558.50347</v>
          </cell>
          <cell r="G60">
            <v>47926.6878</v>
          </cell>
          <cell r="I60">
            <v>225741.76983999999</v>
          </cell>
          <cell r="J60">
            <v>3359759.2112700003</v>
          </cell>
          <cell r="O60" t="str">
            <v>Dic</v>
          </cell>
          <cell r="P60">
            <v>29139.539570000001</v>
          </cell>
          <cell r="Q60">
            <v>56125.644740000003</v>
          </cell>
          <cell r="R60">
            <v>133415.13857000001</v>
          </cell>
          <cell r="S60">
            <v>39267.760271982799</v>
          </cell>
          <cell r="T60">
            <v>257948.08315198281</v>
          </cell>
          <cell r="Y60" t="str">
            <v>Dic</v>
          </cell>
          <cell r="Z60">
            <v>-31222.553620000002</v>
          </cell>
          <cell r="AA60">
            <v>257948.08315198281</v>
          </cell>
          <cell r="AB60">
            <v>-181532.75495999999</v>
          </cell>
          <cell r="AD60">
            <v>45192.774571982824</v>
          </cell>
          <cell r="AE60">
            <v>322021.29390010808</v>
          </cell>
        </row>
        <row r="61">
          <cell r="B61">
            <v>1996</v>
          </cell>
          <cell r="C61" t="str">
            <v>Ene</v>
          </cell>
          <cell r="D61">
            <v>22899.513849999999</v>
          </cell>
          <cell r="E61">
            <v>49575.174469999998</v>
          </cell>
          <cell r="F61">
            <v>112768.81318</v>
          </cell>
          <cell r="G61">
            <v>15695.37383</v>
          </cell>
          <cell r="I61">
            <v>200938.87533000001</v>
          </cell>
          <cell r="J61">
            <v>200938.87533000001</v>
          </cell>
          <cell r="N61">
            <v>1996</v>
          </cell>
          <cell r="O61" t="str">
            <v>Ene</v>
          </cell>
          <cell r="P61">
            <v>-40330.620990000003</v>
          </cell>
          <cell r="Q61">
            <v>50185.876210000002</v>
          </cell>
          <cell r="R61">
            <v>20364.71285</v>
          </cell>
          <cell r="S61">
            <v>71124.668130000005</v>
          </cell>
          <cell r="T61">
            <v>101344.63619999999</v>
          </cell>
          <cell r="X61">
            <v>1996</v>
          </cell>
          <cell r="Y61" t="str">
            <v>Ene</v>
          </cell>
          <cell r="Z61">
            <v>-238568.97372000001</v>
          </cell>
          <cell r="AA61">
            <v>101344.63619999999</v>
          </cell>
          <cell r="AB61">
            <v>-23876.388029999998</v>
          </cell>
          <cell r="AD61">
            <v>-161100.72555</v>
          </cell>
          <cell r="AE61">
            <v>-161100.72555</v>
          </cell>
        </row>
        <row r="62">
          <cell r="C62" t="str">
            <v>Feb</v>
          </cell>
          <cell r="D62">
            <v>27577.540980000002</v>
          </cell>
          <cell r="E62">
            <v>46465.095130000002</v>
          </cell>
          <cell r="F62">
            <v>106113.89786</v>
          </cell>
          <cell r="G62">
            <v>44046.990949999999</v>
          </cell>
          <cell r="I62">
            <v>224203.52492</v>
          </cell>
          <cell r="J62">
            <v>425142.40025000001</v>
          </cell>
          <cell r="O62" t="str">
            <v>Feb</v>
          </cell>
          <cell r="P62">
            <v>-66237.995299999995</v>
          </cell>
          <cell r="Q62">
            <v>86730.358689999994</v>
          </cell>
          <cell r="R62">
            <v>9528.5926799999997</v>
          </cell>
          <cell r="S62">
            <v>163838.44205000001</v>
          </cell>
          <cell r="T62">
            <v>193859.39812</v>
          </cell>
          <cell r="Y62" t="str">
            <v>Feb</v>
          </cell>
          <cell r="Z62">
            <v>-326371.81503</v>
          </cell>
          <cell r="AA62">
            <v>193859.39812</v>
          </cell>
          <cell r="AB62">
            <v>-19906.674760000002</v>
          </cell>
          <cell r="AD62">
            <v>-152419.09166999999</v>
          </cell>
          <cell r="AE62">
            <v>-313519.81721999997</v>
          </cell>
        </row>
        <row r="63">
          <cell r="C63" t="str">
            <v>Mar</v>
          </cell>
          <cell r="D63">
            <v>26353.06409</v>
          </cell>
          <cell r="E63">
            <v>47293.942840000003</v>
          </cell>
          <cell r="F63">
            <v>114764.5958</v>
          </cell>
          <cell r="G63">
            <v>17303.944909999998</v>
          </cell>
          <cell r="I63">
            <v>205715.54764</v>
          </cell>
          <cell r="J63">
            <v>630857.94788999995</v>
          </cell>
          <cell r="O63" t="str">
            <v>Mar</v>
          </cell>
          <cell r="P63">
            <v>-67683.923330000005</v>
          </cell>
          <cell r="Q63">
            <v>130152.84555</v>
          </cell>
          <cell r="R63">
            <v>97762.016950000005</v>
          </cell>
          <cell r="S63">
            <v>96131.26225</v>
          </cell>
          <cell r="T63">
            <v>256362.20142</v>
          </cell>
          <cell r="Y63" t="str">
            <v>Mar</v>
          </cell>
          <cell r="Z63">
            <v>-329557.06891999999</v>
          </cell>
          <cell r="AA63">
            <v>256362.20142</v>
          </cell>
          <cell r="AB63">
            <v>-11691.39759</v>
          </cell>
          <cell r="AD63">
            <v>-84886.265090000001</v>
          </cell>
          <cell r="AE63">
            <v>-398406.08230999997</v>
          </cell>
        </row>
        <row r="64">
          <cell r="C64" t="str">
            <v>Abr</v>
          </cell>
          <cell r="D64">
            <v>23274.633259999999</v>
          </cell>
          <cell r="E64">
            <v>47676.27046</v>
          </cell>
          <cell r="F64">
            <v>107494.97004</v>
          </cell>
          <cell r="G64">
            <v>73504.390750000006</v>
          </cell>
          <cell r="I64">
            <v>251950.26451000001</v>
          </cell>
          <cell r="J64">
            <v>882808.21239999996</v>
          </cell>
          <cell r="O64" t="str">
            <v>Abr</v>
          </cell>
          <cell r="P64">
            <v>80856.792860000001</v>
          </cell>
          <cell r="Q64">
            <v>33964.461759999998</v>
          </cell>
          <cell r="R64">
            <v>70055.915410000001</v>
          </cell>
          <cell r="S64">
            <v>80960.977010000002</v>
          </cell>
          <cell r="T64">
            <v>265838.14704000001</v>
          </cell>
          <cell r="Y64" t="str">
            <v>Abr</v>
          </cell>
          <cell r="Z64">
            <v>-234077.67530999999</v>
          </cell>
          <cell r="AA64">
            <v>265838.14704000001</v>
          </cell>
          <cell r="AB64">
            <v>-56638.006789999999</v>
          </cell>
          <cell r="AD64">
            <v>-24877.53505999998</v>
          </cell>
          <cell r="AE64">
            <v>-423283.61736999993</v>
          </cell>
        </row>
        <row r="65">
          <cell r="C65" t="str">
            <v>May</v>
          </cell>
          <cell r="D65">
            <v>29721.292010000001</v>
          </cell>
          <cell r="E65">
            <v>51156.910259999997</v>
          </cell>
          <cell r="F65">
            <v>181217.02299</v>
          </cell>
          <cell r="G65">
            <v>61871.30932</v>
          </cell>
          <cell r="I65">
            <v>323966.53457999998</v>
          </cell>
          <cell r="J65">
            <v>1206774.7469799998</v>
          </cell>
          <cell r="O65" t="str">
            <v>May</v>
          </cell>
          <cell r="P65">
            <v>25157.610820000002</v>
          </cell>
          <cell r="Q65">
            <v>147287.12737</v>
          </cell>
          <cell r="R65">
            <v>53110.505069999999</v>
          </cell>
          <cell r="S65">
            <v>-24079.155289999999</v>
          </cell>
          <cell r="T65">
            <v>201476.08796999999</v>
          </cell>
          <cell r="Y65" t="str">
            <v>May</v>
          </cell>
          <cell r="Z65">
            <v>-152563.13746999999</v>
          </cell>
          <cell r="AA65">
            <v>201476.08796999999</v>
          </cell>
          <cell r="AB65">
            <v>-26857.717489999999</v>
          </cell>
          <cell r="AD65">
            <v>22055.233010000007</v>
          </cell>
          <cell r="AE65">
            <v>-401228.38435999991</v>
          </cell>
        </row>
        <row r="66">
          <cell r="C66" t="str">
            <v>Jun</v>
          </cell>
          <cell r="D66">
            <v>20992.78369</v>
          </cell>
          <cell r="E66">
            <v>42844.480250000001</v>
          </cell>
          <cell r="F66">
            <v>151970.89472000001</v>
          </cell>
          <cell r="G66">
            <v>30649.272710000001</v>
          </cell>
          <cell r="I66">
            <v>246457.43137000001</v>
          </cell>
          <cell r="J66">
            <v>1453232.1783499997</v>
          </cell>
          <cell r="O66" t="str">
            <v>Jun</v>
          </cell>
          <cell r="P66">
            <v>128186.79743999999</v>
          </cell>
          <cell r="Q66">
            <v>40342.036740000003</v>
          </cell>
          <cell r="R66">
            <v>184275.29897</v>
          </cell>
          <cell r="S66">
            <v>39659.98734</v>
          </cell>
          <cell r="T66">
            <v>392464.12049</v>
          </cell>
          <cell r="Y66" t="str">
            <v>Jun</v>
          </cell>
          <cell r="Z66">
            <v>-389358.69994999998</v>
          </cell>
          <cell r="AA66">
            <v>392464.12049</v>
          </cell>
          <cell r="AB66">
            <v>34871.336790000001</v>
          </cell>
          <cell r="AD66">
            <v>37976.757330000022</v>
          </cell>
          <cell r="AE66">
            <v>-363251.62702999986</v>
          </cell>
        </row>
        <row r="67">
          <cell r="C67" t="str">
            <v>Jul</v>
          </cell>
          <cell r="D67">
            <v>20230.240419999998</v>
          </cell>
          <cell r="E67">
            <v>52596.778200000001</v>
          </cell>
          <cell r="F67">
            <v>182870.67297000001</v>
          </cell>
          <cell r="G67">
            <v>58729.736219999999</v>
          </cell>
          <cell r="I67">
            <v>314427.42781000002</v>
          </cell>
          <cell r="J67">
            <v>1767659.6061599997</v>
          </cell>
          <cell r="O67" t="str">
            <v>Jul</v>
          </cell>
          <cell r="P67">
            <v>129120.34388</v>
          </cell>
          <cell r="Q67">
            <v>59135.37139</v>
          </cell>
          <cell r="R67">
            <v>30047.612580000001</v>
          </cell>
          <cell r="S67">
            <v>168739.38618</v>
          </cell>
          <cell r="T67">
            <v>387042.71402999997</v>
          </cell>
          <cell r="Y67" t="str">
            <v>Jul</v>
          </cell>
          <cell r="Z67">
            <v>-399711.28879000002</v>
          </cell>
          <cell r="AA67">
            <v>387042.71402999997</v>
          </cell>
          <cell r="AB67">
            <v>84779.777170000001</v>
          </cell>
          <cell r="AD67">
            <v>72111.202409999954</v>
          </cell>
          <cell r="AE67">
            <v>-291140.42461999989</v>
          </cell>
        </row>
        <row r="68">
          <cell r="C68" t="str">
            <v>Ago</v>
          </cell>
          <cell r="D68">
            <v>17988.050329999998</v>
          </cell>
          <cell r="E68">
            <v>57976.512349999997</v>
          </cell>
          <cell r="F68">
            <v>164654.95149000001</v>
          </cell>
          <cell r="G68">
            <v>53953.119729999999</v>
          </cell>
          <cell r="I68">
            <v>294572.63390000002</v>
          </cell>
          <cell r="J68">
            <v>2062232.2400599997</v>
          </cell>
          <cell r="O68" t="str">
            <v>Ago</v>
          </cell>
          <cell r="P68">
            <v>61147.39028</v>
          </cell>
          <cell r="Q68">
            <v>477789.85781999998</v>
          </cell>
          <cell r="R68">
            <v>17407.873100000001</v>
          </cell>
          <cell r="S68">
            <v>-106158.224</v>
          </cell>
          <cell r="T68">
            <v>450186.89720000001</v>
          </cell>
          <cell r="Y68" t="str">
            <v>Ago</v>
          </cell>
          <cell r="Z68">
            <v>-411732.33283999999</v>
          </cell>
          <cell r="AA68">
            <v>450186.89720000001</v>
          </cell>
          <cell r="AB68">
            <v>-13588.42944</v>
          </cell>
          <cell r="AD68">
            <v>24866.134920000019</v>
          </cell>
          <cell r="AE68">
            <v>-266274.28969999985</v>
          </cell>
        </row>
        <row r="69">
          <cell r="C69" t="str">
            <v>Sep</v>
          </cell>
          <cell r="D69">
            <v>16514.125049999999</v>
          </cell>
          <cell r="E69">
            <v>47650.746200000001</v>
          </cell>
          <cell r="F69">
            <v>137401.427</v>
          </cell>
          <cell r="G69">
            <v>50573.503129999997</v>
          </cell>
          <cell r="I69">
            <v>252139.80137999999</v>
          </cell>
          <cell r="J69">
            <v>2314372.0414399998</v>
          </cell>
          <cell r="O69" t="str">
            <v>Sep</v>
          </cell>
          <cell r="P69">
            <v>179221.81007000001</v>
          </cell>
          <cell r="Q69">
            <v>43040.20822</v>
          </cell>
          <cell r="R69">
            <v>79654.787960000001</v>
          </cell>
          <cell r="S69">
            <v>176256.75755000001</v>
          </cell>
          <cell r="T69">
            <v>478173.5638</v>
          </cell>
          <cell r="Y69" t="str">
            <v>Sep</v>
          </cell>
          <cell r="Z69">
            <v>-431051.32952000003</v>
          </cell>
          <cell r="AA69">
            <v>478173.5638</v>
          </cell>
          <cell r="AB69">
            <v>-11065.67182</v>
          </cell>
          <cell r="AD69">
            <v>36056.562459999972</v>
          </cell>
          <cell r="AE69">
            <v>-230217.72723999986</v>
          </cell>
        </row>
        <row r="70">
          <cell r="C70" t="str">
            <v>Oct</v>
          </cell>
          <cell r="D70">
            <v>14103.00279</v>
          </cell>
          <cell r="E70">
            <v>53392.264600000002</v>
          </cell>
          <cell r="F70">
            <v>200706.43750999999</v>
          </cell>
          <cell r="G70">
            <v>76114.325219999999</v>
          </cell>
          <cell r="I70">
            <v>344316.03012000001</v>
          </cell>
          <cell r="J70">
            <v>2658688.0715600001</v>
          </cell>
          <cell r="O70" t="str">
            <v>Oct</v>
          </cell>
          <cell r="P70">
            <v>269626.18899</v>
          </cell>
          <cell r="Q70">
            <v>99079.514509999994</v>
          </cell>
          <cell r="R70">
            <v>79723.635150000002</v>
          </cell>
          <cell r="S70">
            <v>112212.53756</v>
          </cell>
          <cell r="T70">
            <v>560641.87621000002</v>
          </cell>
          <cell r="Y70" t="str">
            <v>Oct</v>
          </cell>
          <cell r="Z70">
            <v>-450867.19182000001</v>
          </cell>
          <cell r="AA70">
            <v>560641.87621000002</v>
          </cell>
          <cell r="AB70">
            <v>34731.23947</v>
          </cell>
          <cell r="AD70">
            <v>144505.92386000001</v>
          </cell>
          <cell r="AE70">
            <v>-85711.803379999852</v>
          </cell>
        </row>
        <row r="71">
          <cell r="C71" t="str">
            <v>Nov</v>
          </cell>
          <cell r="D71">
            <v>13891.11865</v>
          </cell>
          <cell r="E71">
            <v>81506.972299999994</v>
          </cell>
          <cell r="F71">
            <v>148665.11379</v>
          </cell>
          <cell r="G71">
            <v>51596.901810000003</v>
          </cell>
          <cell r="I71">
            <v>295660.10655000003</v>
          </cell>
          <cell r="J71">
            <v>2954348.1781100002</v>
          </cell>
          <cell r="O71" t="str">
            <v>Nov</v>
          </cell>
          <cell r="P71">
            <v>194745.59312000001</v>
          </cell>
          <cell r="Q71">
            <v>144232.24082000001</v>
          </cell>
          <cell r="R71">
            <v>737.92822999999999</v>
          </cell>
          <cell r="S71">
            <v>28498.125209999998</v>
          </cell>
          <cell r="T71">
            <v>368213.88737999997</v>
          </cell>
          <cell r="Y71" t="str">
            <v>Nov</v>
          </cell>
          <cell r="Z71">
            <v>-248423.10313999999</v>
          </cell>
          <cell r="AA71">
            <v>368213.88737999997</v>
          </cell>
          <cell r="AB71">
            <v>19423.95176</v>
          </cell>
          <cell r="AD71">
            <v>139214.73599999998</v>
          </cell>
          <cell r="AE71">
            <v>53502.932620000123</v>
          </cell>
        </row>
        <row r="72">
          <cell r="C72" t="str">
            <v>Dic</v>
          </cell>
          <cell r="D72">
            <v>20260.908220000001</v>
          </cell>
          <cell r="E72">
            <v>62434.69786</v>
          </cell>
          <cell r="F72">
            <v>131195.71226</v>
          </cell>
          <cell r="G72">
            <v>51202.323980000001</v>
          </cell>
          <cell r="I72">
            <v>265093.64231999998</v>
          </cell>
          <cell r="J72">
            <v>3219441.8204300003</v>
          </cell>
          <cell r="O72" t="str">
            <v>Dic</v>
          </cell>
          <cell r="P72">
            <v>1101611.38023</v>
          </cell>
          <cell r="Q72">
            <v>341220.60255000001</v>
          </cell>
          <cell r="R72">
            <v>261939.95509</v>
          </cell>
          <cell r="S72">
            <v>210847.80858000001</v>
          </cell>
          <cell r="T72">
            <v>1915619.74645</v>
          </cell>
          <cell r="Y72" t="str">
            <v>Dic</v>
          </cell>
          <cell r="Z72">
            <v>-377179.07351000002</v>
          </cell>
          <cell r="AA72">
            <v>1915619.74645</v>
          </cell>
          <cell r="AB72">
            <v>-19788.449489999999</v>
          </cell>
          <cell r="AD72">
            <v>1518652.2234499999</v>
          </cell>
          <cell r="AE72">
            <v>1572155.15607</v>
          </cell>
        </row>
        <row r="73">
          <cell r="B73" t="str">
            <v>1997 (p)</v>
          </cell>
          <cell r="C73" t="str">
            <v>Ene</v>
          </cell>
          <cell r="D73">
            <v>21458.873970000001</v>
          </cell>
          <cell r="E73">
            <v>53235.418460000001</v>
          </cell>
          <cell r="F73">
            <v>179265.639</v>
          </cell>
          <cell r="G73">
            <v>26111.2084</v>
          </cell>
          <cell r="I73">
            <v>280071.13983</v>
          </cell>
          <cell r="J73">
            <v>280071.13983</v>
          </cell>
          <cell r="N73" t="str">
            <v>1997 (p)</v>
          </cell>
          <cell r="O73" t="str">
            <v>Ene</v>
          </cell>
          <cell r="P73">
            <v>192010.09516</v>
          </cell>
          <cell r="Q73">
            <v>49727.278480000001</v>
          </cell>
          <cell r="R73">
            <v>-2176.2264599999999</v>
          </cell>
          <cell r="S73">
            <v>159832.60722999999</v>
          </cell>
          <cell r="T73">
            <v>399393.75440999999</v>
          </cell>
          <cell r="X73" t="str">
            <v>1997 (p)</v>
          </cell>
          <cell r="Y73" t="str">
            <v>Ene</v>
          </cell>
          <cell r="Z73">
            <v>-374670.18338</v>
          </cell>
          <cell r="AA73">
            <v>399393.75440999999</v>
          </cell>
          <cell r="AB73">
            <v>-86604.702720000001</v>
          </cell>
          <cell r="AD73">
            <v>-61881.131690000009</v>
          </cell>
          <cell r="AE73">
            <v>-61881.131690000009</v>
          </cell>
        </row>
        <row r="74">
          <cell r="C74" t="str">
            <v>Feb</v>
          </cell>
          <cell r="D74">
            <v>28531.56163</v>
          </cell>
          <cell r="E74">
            <v>53430.161339999999</v>
          </cell>
          <cell r="F74">
            <v>167711.70702999999</v>
          </cell>
          <cell r="G74">
            <v>57735.138980000003</v>
          </cell>
          <cell r="I74">
            <v>307408.56897999998</v>
          </cell>
          <cell r="J74">
            <v>587479.70880999998</v>
          </cell>
          <cell r="O74" t="str">
            <v>Feb</v>
          </cell>
          <cell r="P74">
            <v>72508.045559999999</v>
          </cell>
          <cell r="Q74">
            <v>149482.68074000001</v>
          </cell>
          <cell r="R74">
            <v>60671.078630000004</v>
          </cell>
          <cell r="S74">
            <v>214184.70962000001</v>
          </cell>
          <cell r="T74">
            <v>496846.51455000002</v>
          </cell>
          <cell r="Y74" t="str">
            <v>Feb</v>
          </cell>
          <cell r="Z74">
            <v>-495470.9032</v>
          </cell>
          <cell r="AA74">
            <v>496846.51455000002</v>
          </cell>
          <cell r="AB74">
            <v>-19787.58783</v>
          </cell>
          <cell r="AD74">
            <v>-18411.976479999979</v>
          </cell>
          <cell r="AE74">
            <v>-80293.108169999992</v>
          </cell>
        </row>
        <row r="75">
          <cell r="C75" t="str">
            <v>Mar</v>
          </cell>
          <cell r="D75">
            <v>26395.88781</v>
          </cell>
          <cell r="E75">
            <v>48933.485950000002</v>
          </cell>
          <cell r="F75">
            <v>169274.33472000001</v>
          </cell>
          <cell r="G75">
            <v>41656.971460000001</v>
          </cell>
          <cell r="I75">
            <v>286260.67994</v>
          </cell>
          <cell r="J75">
            <v>873740.38874999993</v>
          </cell>
          <cell r="O75" t="str">
            <v>Mar</v>
          </cell>
          <cell r="P75">
            <v>145518.20142999999</v>
          </cell>
          <cell r="Q75">
            <v>115282.03014</v>
          </cell>
          <cell r="R75">
            <v>42076.733619999999</v>
          </cell>
          <cell r="S75">
            <v>205573.82957999999</v>
          </cell>
          <cell r="T75">
            <v>508450.79476999998</v>
          </cell>
          <cell r="Y75" t="str">
            <v>Mar</v>
          </cell>
          <cell r="Z75">
            <v>-380883.24284999998</v>
          </cell>
          <cell r="AA75">
            <v>508450.79476999998</v>
          </cell>
          <cell r="AB75">
            <v>-4147.7064600000003</v>
          </cell>
          <cell r="AD75">
            <v>123419.84546</v>
          </cell>
          <cell r="AE75">
            <v>43126.737290000005</v>
          </cell>
        </row>
        <row r="76">
          <cell r="C76" t="str">
            <v>Abr</v>
          </cell>
          <cell r="D76">
            <v>23844.492450000002</v>
          </cell>
          <cell r="E76">
            <v>56425.952250000002</v>
          </cell>
          <cell r="F76">
            <v>211381.38768000001</v>
          </cell>
          <cell r="G76">
            <v>51215.742109999999</v>
          </cell>
          <cell r="I76">
            <v>342867.57449000003</v>
          </cell>
          <cell r="J76">
            <v>1216607.96324</v>
          </cell>
          <cell r="O76" t="str">
            <v>Abr</v>
          </cell>
          <cell r="P76">
            <v>215006.34015999999</v>
          </cell>
          <cell r="Q76">
            <v>130947.99625</v>
          </cell>
          <cell r="R76">
            <v>45714.39329</v>
          </cell>
          <cell r="S76">
            <v>99256.357879999996</v>
          </cell>
          <cell r="T76">
            <v>490925.08757999999</v>
          </cell>
          <cell r="Y76" t="str">
            <v>Abr</v>
          </cell>
          <cell r="Z76">
            <v>-422551.31335000001</v>
          </cell>
          <cell r="AA76">
            <v>490925.08757999999</v>
          </cell>
          <cell r="AB76">
            <v>-12613.658020000001</v>
          </cell>
          <cell r="AD76">
            <v>55760.116209999978</v>
          </cell>
          <cell r="AE76">
            <v>98886.853499999983</v>
          </cell>
        </row>
        <row r="77">
          <cell r="C77" t="str">
            <v>May</v>
          </cell>
          <cell r="D77">
            <v>23464.624019999999</v>
          </cell>
          <cell r="E77">
            <v>44465.201229999999</v>
          </cell>
          <cell r="F77">
            <v>164210.54204999999</v>
          </cell>
          <cell r="G77">
            <v>64158.514560000003</v>
          </cell>
          <cell r="I77">
            <v>296298.88186000002</v>
          </cell>
          <cell r="J77">
            <v>1512906.8451</v>
          </cell>
          <cell r="O77" t="str">
            <v>May</v>
          </cell>
          <cell r="P77">
            <v>239184.55519000001</v>
          </cell>
          <cell r="Q77">
            <v>117239.6121</v>
          </cell>
          <cell r="R77">
            <v>-4989.0539600000002</v>
          </cell>
          <cell r="S77">
            <v>-22556.11968</v>
          </cell>
          <cell r="T77">
            <v>328878.99365000002</v>
          </cell>
          <cell r="Y77" t="str">
            <v>May</v>
          </cell>
          <cell r="Z77">
            <v>-207528.13717</v>
          </cell>
          <cell r="AA77">
            <v>328878.99365000002</v>
          </cell>
          <cell r="AB77">
            <v>103234.88262</v>
          </cell>
          <cell r="AD77">
            <v>224585.73910000001</v>
          </cell>
          <cell r="AE77">
            <v>323472.59259999997</v>
          </cell>
        </row>
        <row r="78">
          <cell r="C78" t="str">
            <v>Jun</v>
          </cell>
          <cell r="D78">
            <v>18666.104780000001</v>
          </cell>
          <cell r="E78">
            <v>42922.177459999999</v>
          </cell>
          <cell r="F78">
            <v>133770.70005000001</v>
          </cell>
          <cell r="G78">
            <v>89551.005399999995</v>
          </cell>
          <cell r="I78">
            <v>284909.98768999998</v>
          </cell>
          <cell r="J78">
            <v>1797816.8327899999</v>
          </cell>
          <cell r="O78" t="str">
            <v>Jun</v>
          </cell>
          <cell r="P78">
            <v>127401.26209</v>
          </cell>
          <cell r="Q78">
            <v>37219.075729999997</v>
          </cell>
          <cell r="R78">
            <v>98502.926000000007</v>
          </cell>
          <cell r="S78">
            <v>72729.2889</v>
          </cell>
          <cell r="T78">
            <v>335852.55271999998</v>
          </cell>
          <cell r="Y78" t="str">
            <v>Jun</v>
          </cell>
          <cell r="Z78">
            <v>-268503.92920999997</v>
          </cell>
          <cell r="AA78">
            <v>335852.55271999998</v>
          </cell>
          <cell r="AB78">
            <v>-16290.00525</v>
          </cell>
          <cell r="AD78">
            <v>51058.618260000003</v>
          </cell>
          <cell r="AE78">
            <v>374531.21085999999</v>
          </cell>
        </row>
        <row r="79">
          <cell r="C79" t="str">
            <v>Jul</v>
          </cell>
          <cell r="D79">
            <v>16509.88292</v>
          </cell>
          <cell r="E79">
            <v>51599.196389999997</v>
          </cell>
          <cell r="F79">
            <v>149496.96163999999</v>
          </cell>
          <cell r="G79">
            <v>73204.575679999994</v>
          </cell>
          <cell r="I79">
            <v>290810.61663</v>
          </cell>
          <cell r="J79">
            <v>2088627.44942</v>
          </cell>
          <cell r="O79" t="str">
            <v>Jul</v>
          </cell>
          <cell r="P79">
            <v>110466.79066</v>
          </cell>
          <cell r="Q79">
            <v>253845.3498</v>
          </cell>
          <cell r="R79">
            <v>51225.493450000002</v>
          </cell>
          <cell r="S79">
            <v>-94256.468999999997</v>
          </cell>
          <cell r="T79">
            <v>321281.16490999999</v>
          </cell>
          <cell r="Y79" t="str">
            <v>Jul</v>
          </cell>
          <cell r="Z79">
            <v>-264067.52395</v>
          </cell>
          <cell r="AA79">
            <v>321281.16490999999</v>
          </cell>
          <cell r="AB79">
            <v>-48781.607880000003</v>
          </cell>
          <cell r="AD79">
            <v>8432.0330799999865</v>
          </cell>
          <cell r="AE79">
            <v>382963.24393999996</v>
          </cell>
        </row>
        <row r="80">
          <cell r="C80" t="str">
            <v>Ago</v>
          </cell>
          <cell r="D80">
            <v>12483.22834</v>
          </cell>
          <cell r="E80">
            <v>39491.414960000002</v>
          </cell>
          <cell r="F80">
            <v>143572.23147</v>
          </cell>
          <cell r="G80">
            <v>81572.851240000004</v>
          </cell>
          <cell r="I80">
            <v>277119.72600999998</v>
          </cell>
          <cell r="J80">
            <v>2365747.1754299998</v>
          </cell>
          <cell r="O80" t="str">
            <v>Ago</v>
          </cell>
          <cell r="P80">
            <v>37726.592109999998</v>
          </cell>
          <cell r="Q80">
            <v>72316.851479999998</v>
          </cell>
          <cell r="R80">
            <v>79015.404259999996</v>
          </cell>
          <cell r="S80">
            <v>152112.35292</v>
          </cell>
          <cell r="T80">
            <v>341171.20077</v>
          </cell>
          <cell r="Y80" t="str">
            <v>Ago</v>
          </cell>
          <cell r="Z80">
            <v>-360503.07724999997</v>
          </cell>
          <cell r="AA80">
            <v>341171.20077</v>
          </cell>
          <cell r="AB80">
            <v>20697.60111</v>
          </cell>
          <cell r="AD80">
            <v>1365.7246300000224</v>
          </cell>
          <cell r="AE80">
            <v>384328.96856999997</v>
          </cell>
        </row>
        <row r="81">
          <cell r="C81" t="str">
            <v>Sep</v>
          </cell>
          <cell r="D81">
            <v>16334.681200000001</v>
          </cell>
          <cell r="E81">
            <v>52744.689079999996</v>
          </cell>
          <cell r="F81">
            <v>157138.80377999999</v>
          </cell>
          <cell r="G81">
            <v>68840.195129999993</v>
          </cell>
          <cell r="I81">
            <v>295058.36919</v>
          </cell>
          <cell r="J81">
            <v>2660805.5446199998</v>
          </cell>
          <cell r="O81" t="str">
            <v>Sep</v>
          </cell>
          <cell r="P81">
            <v>-95000.641229999994</v>
          </cell>
          <cell r="Q81">
            <v>222371.19696</v>
          </cell>
          <cell r="R81">
            <v>43911.842420000001</v>
          </cell>
          <cell r="S81">
            <v>91968.901190000004</v>
          </cell>
          <cell r="T81">
            <v>263251.29934000003</v>
          </cell>
          <cell r="Y81" t="str">
            <v>Sep</v>
          </cell>
          <cell r="Z81">
            <v>-390693.57530999999</v>
          </cell>
          <cell r="AA81">
            <v>263251.29934000003</v>
          </cell>
          <cell r="AB81">
            <v>75243.923989999996</v>
          </cell>
          <cell r="AD81">
            <v>-52198.351979999963</v>
          </cell>
          <cell r="AE81">
            <v>332130.61658999999</v>
          </cell>
        </row>
        <row r="82">
          <cell r="C82" t="str">
            <v>Oct</v>
          </cell>
          <cell r="D82">
            <v>11612.36325</v>
          </cell>
          <cell r="E82">
            <v>51320.680919999999</v>
          </cell>
          <cell r="F82">
            <v>163909.54290999999</v>
          </cell>
          <cell r="G82">
            <v>135955.71891</v>
          </cell>
          <cell r="I82">
            <v>362798.30599000002</v>
          </cell>
          <cell r="J82">
            <v>3023603.8506100001</v>
          </cell>
          <cell r="O82" t="str">
            <v>Oct</v>
          </cell>
          <cell r="P82">
            <v>24700.78744</v>
          </cell>
          <cell r="Q82">
            <v>139115.98645999999</v>
          </cell>
          <cell r="R82">
            <v>29956.165359999999</v>
          </cell>
          <cell r="S82">
            <v>119041.85800000001</v>
          </cell>
          <cell r="T82">
            <v>312814.79726000002</v>
          </cell>
          <cell r="Y82" t="str">
            <v>Oct</v>
          </cell>
          <cell r="Z82">
            <v>-468380.16363000002</v>
          </cell>
          <cell r="AA82">
            <v>312814.79726000002</v>
          </cell>
          <cell r="AB82">
            <v>84511.02966</v>
          </cell>
          <cell r="AD82">
            <v>-71054.336710000003</v>
          </cell>
          <cell r="AE82">
            <v>261076.27987999999</v>
          </cell>
        </row>
        <row r="83">
          <cell r="C83" t="str">
            <v>Nov</v>
          </cell>
          <cell r="D83">
            <v>8897.1105499999994</v>
          </cell>
          <cell r="E83">
            <v>64508.007290000001</v>
          </cell>
          <cell r="F83">
            <v>128513.30305</v>
          </cell>
          <cell r="G83">
            <v>77227.288709999993</v>
          </cell>
          <cell r="I83">
            <v>279145.7096</v>
          </cell>
          <cell r="J83">
            <v>3302749.5602100003</v>
          </cell>
          <cell r="O83" t="str">
            <v>Nov</v>
          </cell>
          <cell r="P83">
            <v>254261.07813000001</v>
          </cell>
          <cell r="Q83">
            <v>80707.009720000002</v>
          </cell>
          <cell r="R83">
            <v>14870.71225</v>
          </cell>
          <cell r="S83">
            <v>-56106.877130000001</v>
          </cell>
          <cell r="T83">
            <v>293731.92297000001</v>
          </cell>
          <cell r="Y83" t="str">
            <v>Nov</v>
          </cell>
          <cell r="Z83">
            <v>-372885.19235000003</v>
          </cell>
          <cell r="AA83">
            <v>293731.92297000001</v>
          </cell>
          <cell r="AB83">
            <v>-92655.165349999996</v>
          </cell>
          <cell r="AD83">
            <v>-171808.43473000001</v>
          </cell>
          <cell r="AE83">
            <v>89267.845149999979</v>
          </cell>
        </row>
        <row r="84">
          <cell r="C84" t="str">
            <v>Dic*</v>
          </cell>
          <cell r="D84">
            <v>10132.466899999999</v>
          </cell>
          <cell r="E84">
            <v>46590.802000000003</v>
          </cell>
          <cell r="F84">
            <v>171270.48352000001</v>
          </cell>
          <cell r="G84">
            <v>81626.550369999997</v>
          </cell>
          <cell r="I84">
            <v>309620.30278999999</v>
          </cell>
          <cell r="J84">
            <v>3612369.8630000004</v>
          </cell>
          <cell r="O84" t="str">
            <v>Dic*</v>
          </cell>
          <cell r="P84">
            <v>325608.04703000002</v>
          </cell>
          <cell r="Q84">
            <v>104433.15297</v>
          </cell>
          <cell r="R84">
            <v>-145634.39257</v>
          </cell>
          <cell r="S84">
            <v>339664.25956999999</v>
          </cell>
          <cell r="T84">
            <v>624071.06700000004</v>
          </cell>
          <cell r="Y84" t="str">
            <v>Dic*</v>
          </cell>
          <cell r="Z84">
            <v>-704786.19742999994</v>
          </cell>
          <cell r="AA84">
            <v>624071.06700000004</v>
          </cell>
          <cell r="AB84">
            <v>-23843.962</v>
          </cell>
          <cell r="AD84">
            <v>-104559.0924299999</v>
          </cell>
          <cell r="AE84">
            <v>-15291.247279999923</v>
          </cell>
        </row>
        <row r="85">
          <cell r="B85" t="str">
            <v>1998 (p)</v>
          </cell>
          <cell r="C85" t="str">
            <v>Ene</v>
          </cell>
          <cell r="D85">
            <v>10350.36</v>
          </cell>
          <cell r="E85">
            <v>38654.15</v>
          </cell>
          <cell r="F85">
            <v>141359.57999999999</v>
          </cell>
          <cell r="G85">
            <v>64620.83</v>
          </cell>
          <cell r="I85">
            <v>254984.93</v>
          </cell>
          <cell r="J85">
            <v>254984.93</v>
          </cell>
          <cell r="N85" t="str">
            <v>1998 (p)</v>
          </cell>
          <cell r="O85" t="str">
            <v>Ene</v>
          </cell>
          <cell r="P85">
            <v>-31332.01</v>
          </cell>
          <cell r="Q85">
            <v>99502.02</v>
          </cell>
          <cell r="R85">
            <v>20191.490000000002</v>
          </cell>
          <cell r="S85">
            <v>74486.600000000006</v>
          </cell>
          <cell r="T85">
            <v>162848.10999999999</v>
          </cell>
          <cell r="X85" t="str">
            <v>1998 (p)</v>
          </cell>
          <cell r="Y85" t="str">
            <v>Ene</v>
          </cell>
          <cell r="Z85">
            <v>-348426.18</v>
          </cell>
          <cell r="AA85">
            <v>162848.10999999999</v>
          </cell>
          <cell r="AB85">
            <v>51421.14</v>
          </cell>
          <cell r="AD85">
            <v>-134156.93</v>
          </cell>
          <cell r="AE85">
            <v>-134156.93</v>
          </cell>
        </row>
        <row r="86">
          <cell r="C86" t="str">
            <v>Feb</v>
          </cell>
          <cell r="D86">
            <v>10893.68</v>
          </cell>
          <cell r="E86">
            <v>38069.46</v>
          </cell>
          <cell r="F86">
            <v>175743.2</v>
          </cell>
          <cell r="G86">
            <v>84835.18</v>
          </cell>
          <cell r="I86">
            <v>309541.51</v>
          </cell>
          <cell r="J86">
            <v>564526.43999999994</v>
          </cell>
          <cell r="O86" t="str">
            <v>Feb</v>
          </cell>
          <cell r="P86">
            <v>-156472.51</v>
          </cell>
          <cell r="Q86">
            <v>-23378.959999999999</v>
          </cell>
          <cell r="R86">
            <v>75058.59</v>
          </cell>
          <cell r="S86">
            <v>228413.5</v>
          </cell>
          <cell r="T86">
            <v>123620.62</v>
          </cell>
          <cell r="Y86" t="str">
            <v>Feb</v>
          </cell>
          <cell r="Z86">
            <v>-502325.52</v>
          </cell>
          <cell r="AA86">
            <v>123620.62</v>
          </cell>
          <cell r="AB86">
            <v>-4553.8900000000003</v>
          </cell>
          <cell r="AD86">
            <v>-383258.79000000004</v>
          </cell>
          <cell r="AE86">
            <v>-517415.72000000003</v>
          </cell>
        </row>
        <row r="87">
          <cell r="C87" t="str">
            <v>Mar</v>
          </cell>
          <cell r="D87">
            <v>13134.91</v>
          </cell>
          <cell r="E87">
            <v>40891.97</v>
          </cell>
          <cell r="F87">
            <v>198210.64</v>
          </cell>
          <cell r="G87">
            <v>53448.95</v>
          </cell>
          <cell r="I87">
            <v>305686.46999999997</v>
          </cell>
          <cell r="J87">
            <v>870212.90999999992</v>
          </cell>
          <cell r="O87" t="str">
            <v>Mar</v>
          </cell>
          <cell r="P87">
            <v>-53401.21</v>
          </cell>
          <cell r="Q87">
            <v>306741.19</v>
          </cell>
          <cell r="R87">
            <v>112396.05</v>
          </cell>
          <cell r="S87">
            <v>30810.97</v>
          </cell>
          <cell r="T87">
            <v>396546.99</v>
          </cell>
          <cell r="Y87" t="str">
            <v>Mar</v>
          </cell>
          <cell r="Z87">
            <v>-364162.52</v>
          </cell>
          <cell r="AA87">
            <v>396546.99</v>
          </cell>
          <cell r="AB87">
            <v>-47351.27</v>
          </cell>
          <cell r="AD87">
            <v>-14966.800000000025</v>
          </cell>
          <cell r="AE87">
            <v>-532382.52</v>
          </cell>
        </row>
        <row r="88">
          <cell r="C88" t="str">
            <v>Abr</v>
          </cell>
          <cell r="D88">
            <v>11312.82</v>
          </cell>
          <cell r="E88">
            <v>20504.63</v>
          </cell>
          <cell r="F88">
            <v>132084.14000000001</v>
          </cell>
          <cell r="G88">
            <v>58506.01</v>
          </cell>
          <cell r="I88">
            <v>222407.6</v>
          </cell>
          <cell r="J88">
            <v>1092620.51</v>
          </cell>
          <cell r="O88" t="str">
            <v>Abr</v>
          </cell>
          <cell r="P88">
            <v>139867.62</v>
          </cell>
          <cell r="Q88">
            <v>1862.3</v>
          </cell>
          <cell r="R88">
            <v>-82200.7</v>
          </cell>
          <cell r="S88">
            <v>360769.95</v>
          </cell>
          <cell r="T88">
            <v>420299.17</v>
          </cell>
          <cell r="Y88" t="str">
            <v>Abr</v>
          </cell>
          <cell r="Z88">
            <v>-437407.52</v>
          </cell>
          <cell r="AA88">
            <v>420299.17</v>
          </cell>
          <cell r="AB88">
            <v>46255.37</v>
          </cell>
          <cell r="AD88">
            <v>29147.019999999968</v>
          </cell>
          <cell r="AE88">
            <v>-503235.50000000006</v>
          </cell>
        </row>
        <row r="89">
          <cell r="C89" t="str">
            <v>May</v>
          </cell>
          <cell r="D89">
            <v>11299.3</v>
          </cell>
          <cell r="E89">
            <v>42845.34</v>
          </cell>
          <cell r="F89">
            <v>146338.59</v>
          </cell>
          <cell r="G89">
            <v>64830.01</v>
          </cell>
          <cell r="I89">
            <v>265313.24</v>
          </cell>
          <cell r="J89">
            <v>1357933.75</v>
          </cell>
          <cell r="O89" t="str">
            <v>May</v>
          </cell>
          <cell r="P89">
            <v>-79317.759999999995</v>
          </cell>
          <cell r="Q89">
            <v>116938.7</v>
          </cell>
          <cell r="R89">
            <v>1452.76</v>
          </cell>
          <cell r="S89">
            <v>56047.37</v>
          </cell>
          <cell r="T89">
            <v>95121.07</v>
          </cell>
          <cell r="Y89" t="str">
            <v>May</v>
          </cell>
          <cell r="Z89">
            <v>-306738.15999999997</v>
          </cell>
          <cell r="AA89">
            <v>95121.07</v>
          </cell>
          <cell r="AB89">
            <v>-9538.5</v>
          </cell>
          <cell r="AD89">
            <v>-221155.58999999997</v>
          </cell>
          <cell r="AE89">
            <v>-724391.09000000008</v>
          </cell>
        </row>
        <row r="90">
          <cell r="C90" t="str">
            <v>Jun</v>
          </cell>
          <cell r="D90">
            <v>8542.1299999999992</v>
          </cell>
          <cell r="E90">
            <v>39315.74</v>
          </cell>
          <cell r="F90">
            <v>216487.16</v>
          </cell>
          <cell r="G90">
            <v>73331.039999999994</v>
          </cell>
          <cell r="I90">
            <v>337676.07</v>
          </cell>
          <cell r="J90">
            <v>1695609.82</v>
          </cell>
          <cell r="O90" t="str">
            <v>Jun</v>
          </cell>
          <cell r="P90">
            <v>245343.97</v>
          </cell>
          <cell r="Q90">
            <v>45753.22</v>
          </cell>
          <cell r="R90">
            <v>99029.96</v>
          </cell>
          <cell r="S90">
            <v>-236034.1</v>
          </cell>
          <cell r="T90">
            <v>154093.04999999999</v>
          </cell>
          <cell r="Y90" t="str">
            <v>Jun</v>
          </cell>
          <cell r="Z90">
            <v>-264890.26</v>
          </cell>
          <cell r="AA90">
            <v>154093.04999999999</v>
          </cell>
          <cell r="AB90">
            <v>-11642.94</v>
          </cell>
          <cell r="AD90">
            <v>-122440.15000000002</v>
          </cell>
          <cell r="AE90">
            <v>-846831.24000000011</v>
          </cell>
        </row>
        <row r="91">
          <cell r="C91" t="str">
            <v>Jul</v>
          </cell>
          <cell r="D91">
            <v>13305.43</v>
          </cell>
          <cell r="E91">
            <v>44901.56</v>
          </cell>
          <cell r="F91">
            <v>173022.91</v>
          </cell>
          <cell r="G91">
            <v>73759.42</v>
          </cell>
          <cell r="I91">
            <v>304989.31</v>
          </cell>
          <cell r="J91">
            <v>2000599.1300000001</v>
          </cell>
          <cell r="O91" t="str">
            <v>Jul</v>
          </cell>
          <cell r="P91">
            <v>104147.92</v>
          </cell>
          <cell r="Q91">
            <v>67419.34</v>
          </cell>
          <cell r="R91">
            <v>22597.29</v>
          </cell>
          <cell r="S91">
            <v>205193.55</v>
          </cell>
          <cell r="T91">
            <v>399358.1</v>
          </cell>
          <cell r="Y91" t="str">
            <v>Jul</v>
          </cell>
          <cell r="Z91">
            <v>-358849.07</v>
          </cell>
          <cell r="AA91">
            <v>399358.1</v>
          </cell>
          <cell r="AB91">
            <v>-20763.150000000001</v>
          </cell>
          <cell r="AD91">
            <v>19745.879999999968</v>
          </cell>
          <cell r="AE91">
            <v>-827085.3600000001</v>
          </cell>
        </row>
        <row r="92">
          <cell r="C92" t="str">
            <v>Ago</v>
          </cell>
          <cell r="D92">
            <v>14915.26</v>
          </cell>
          <cell r="E92">
            <v>37989.919999999998</v>
          </cell>
          <cell r="F92">
            <v>165859.29</v>
          </cell>
          <cell r="G92">
            <v>61032.17</v>
          </cell>
          <cell r="I92">
            <v>279796.64</v>
          </cell>
          <cell r="J92">
            <v>2280395.77</v>
          </cell>
          <cell r="O92" t="str">
            <v>Ago</v>
          </cell>
          <cell r="P92">
            <v>22458.76</v>
          </cell>
          <cell r="Q92">
            <v>123808.86</v>
          </cell>
          <cell r="R92">
            <v>94869.87</v>
          </cell>
          <cell r="S92">
            <v>19392.7</v>
          </cell>
          <cell r="T92">
            <v>260530.19</v>
          </cell>
          <cell r="Y92" t="str">
            <v>Ago</v>
          </cell>
          <cell r="Z92">
            <v>-485730.44</v>
          </cell>
          <cell r="AA92">
            <v>260530.19</v>
          </cell>
          <cell r="AB92">
            <v>80609.039999999994</v>
          </cell>
          <cell r="AD92">
            <v>-144591.21000000002</v>
          </cell>
          <cell r="AE92">
            <v>-971676.57000000007</v>
          </cell>
        </row>
        <row r="93">
          <cell r="C93" t="str">
            <v>Sep</v>
          </cell>
          <cell r="D93">
            <v>16112.31</v>
          </cell>
          <cell r="E93">
            <v>41540.68</v>
          </cell>
          <cell r="F93">
            <v>158923.64000000001</v>
          </cell>
          <cell r="G93">
            <v>87479.14</v>
          </cell>
          <cell r="I93">
            <v>304055.77</v>
          </cell>
          <cell r="J93">
            <v>2584451.54</v>
          </cell>
          <cell r="O93" t="str">
            <v>Sep</v>
          </cell>
          <cell r="P93">
            <v>38638.35</v>
          </cell>
          <cell r="Q93">
            <v>-28011.25</v>
          </cell>
          <cell r="R93">
            <v>105483.87</v>
          </cell>
          <cell r="S93">
            <v>116893.55</v>
          </cell>
          <cell r="T93">
            <v>233004.53</v>
          </cell>
          <cell r="Y93" t="str">
            <v>Sep</v>
          </cell>
          <cell r="Z93">
            <v>-544634.78</v>
          </cell>
          <cell r="AA93">
            <v>233004.53</v>
          </cell>
          <cell r="AB93">
            <v>130316.84</v>
          </cell>
          <cell r="AD93">
            <v>-181313.41</v>
          </cell>
          <cell r="AE93">
            <v>-1152989.98</v>
          </cell>
        </row>
        <row r="94">
          <cell r="C94" t="str">
            <v>Oct</v>
          </cell>
          <cell r="D94">
            <v>18547.2</v>
          </cell>
          <cell r="E94">
            <v>47377.14</v>
          </cell>
          <cell r="F94">
            <v>219066.48</v>
          </cell>
          <cell r="G94">
            <v>154365.04999999999</v>
          </cell>
          <cell r="I94">
            <v>439355.88</v>
          </cell>
          <cell r="J94">
            <v>3023807.42</v>
          </cell>
          <cell r="O94" t="str">
            <v>Oct</v>
          </cell>
          <cell r="P94">
            <v>-79962.52</v>
          </cell>
          <cell r="Q94">
            <v>281071.24</v>
          </cell>
          <cell r="R94">
            <v>37354.61</v>
          </cell>
          <cell r="S94">
            <v>-27857.3</v>
          </cell>
          <cell r="T94">
            <v>210606.02</v>
          </cell>
          <cell r="Y94" t="str">
            <v>Oct</v>
          </cell>
          <cell r="Z94">
            <v>-264364.52</v>
          </cell>
          <cell r="AA94">
            <v>210606.02</v>
          </cell>
          <cell r="AB94">
            <v>27411.05</v>
          </cell>
          <cell r="AD94">
            <v>-26347.45000000003</v>
          </cell>
          <cell r="AE94">
            <v>-1179337.43</v>
          </cell>
        </row>
        <row r="95">
          <cell r="C95" t="str">
            <v>Nov</v>
          </cell>
          <cell r="D95">
            <v>24314.69</v>
          </cell>
          <cell r="E95">
            <v>44269.94</v>
          </cell>
          <cell r="F95">
            <v>184052.61</v>
          </cell>
          <cell r="G95">
            <v>97184.81</v>
          </cell>
          <cell r="I95">
            <v>349822.05</v>
          </cell>
          <cell r="J95">
            <v>3373629.4699999997</v>
          </cell>
          <cell r="O95" t="str">
            <v>Nov</v>
          </cell>
          <cell r="P95">
            <v>97681.36</v>
          </cell>
          <cell r="Q95">
            <v>68340.259999999995</v>
          </cell>
          <cell r="R95">
            <v>14484.96</v>
          </cell>
          <cell r="S95">
            <v>40799.53</v>
          </cell>
          <cell r="T95">
            <v>221306.12</v>
          </cell>
          <cell r="Y95" t="str">
            <v>Nov</v>
          </cell>
          <cell r="Z95">
            <v>-126822.47</v>
          </cell>
          <cell r="AA95">
            <v>221306.12</v>
          </cell>
          <cell r="AB95">
            <v>-121735.41</v>
          </cell>
          <cell r="AD95">
            <v>-27251.760000000009</v>
          </cell>
          <cell r="AE95">
            <v>-1206589.19</v>
          </cell>
        </row>
        <row r="96">
          <cell r="C96" t="str">
            <v>Dic*</v>
          </cell>
          <cell r="D96">
            <v>16940.04</v>
          </cell>
          <cell r="E96">
            <v>59954.76</v>
          </cell>
          <cell r="F96">
            <v>207862.27</v>
          </cell>
          <cell r="G96">
            <v>59423.1</v>
          </cell>
          <cell r="I96">
            <v>344180.17</v>
          </cell>
          <cell r="J96">
            <v>3717809.6399999997</v>
          </cell>
          <cell r="O96" t="str">
            <v>Dic*</v>
          </cell>
          <cell r="P96">
            <v>170131.23</v>
          </cell>
          <cell r="Q96">
            <v>274086.99</v>
          </cell>
          <cell r="R96">
            <v>34125.620000000003</v>
          </cell>
          <cell r="S96">
            <v>-224072.13</v>
          </cell>
          <cell r="T96">
            <v>254271.72</v>
          </cell>
          <cell r="Y96" t="str">
            <v>Dic*</v>
          </cell>
          <cell r="Z96">
            <v>-265991.27</v>
          </cell>
          <cell r="AA96">
            <v>254271.72</v>
          </cell>
          <cell r="AB96">
            <v>41058.42</v>
          </cell>
          <cell r="AD96">
            <v>29338.869999999981</v>
          </cell>
          <cell r="AE96">
            <v>-1177250.32</v>
          </cell>
        </row>
        <row r="110">
          <cell r="B110" t="str">
            <v>Cuadro II-3B</v>
          </cell>
          <cell r="N110" t="str">
            <v>Cuadro II-4B</v>
          </cell>
          <cell r="X110" t="str">
            <v>Cuadro II-5B</v>
          </cell>
        </row>
        <row r="112">
          <cell r="B112" t="str">
            <v>REINTEGROS POR SERVICIOS FINANCIEROS Y NO FINANCIEROS</v>
          </cell>
          <cell r="N112" t="str">
            <v>CUENTA DE CAPITAL</v>
          </cell>
          <cell r="X112" t="str">
            <v>BALANZA CAMBIARIA</v>
          </cell>
        </row>
        <row r="114">
          <cell r="B114" t="str">
            <v>(Valores acumulados)</v>
          </cell>
          <cell r="N114" t="str">
            <v>(Valores acumulados)</v>
          </cell>
          <cell r="X114" t="str">
            <v>(Valores acumulados)</v>
          </cell>
        </row>
        <row r="116">
          <cell r="G116" t="str">
            <v xml:space="preserve">               (Miles de dólares)</v>
          </cell>
          <cell r="S116" t="str">
            <v xml:space="preserve">                         (Miles de dólares)</v>
          </cell>
          <cell r="AB116" t="str">
            <v xml:space="preserve">                                (Miles de dólares)</v>
          </cell>
        </row>
        <row r="117">
          <cell r="B117" t="str">
            <v>Período</v>
          </cell>
          <cell r="D117" t="str">
            <v>Turismo</v>
          </cell>
          <cell r="E117" t="str">
            <v>Transferencias</v>
          </cell>
          <cell r="F117" t="str">
            <v>Otros servicios</v>
          </cell>
          <cell r="G117" t="str">
            <v>Servicios</v>
          </cell>
          <cell r="I117" t="str">
            <v xml:space="preserve">    Servicios</v>
          </cell>
          <cell r="N117" t="str">
            <v>Período</v>
          </cell>
          <cell r="P117" t="str">
            <v>Sector</v>
          </cell>
          <cell r="Q117" t="str">
            <v>Inversión</v>
          </cell>
          <cell r="R117" t="str">
            <v>Sector</v>
          </cell>
          <cell r="S117" t="str">
            <v>Operaciones</v>
          </cell>
          <cell r="T117" t="str">
            <v>Financiación</v>
          </cell>
          <cell r="Y117" t="str">
            <v>Período</v>
          </cell>
          <cell r="Z117" t="str">
            <v>Superávit o</v>
          </cell>
          <cell r="AA117" t="str">
            <v xml:space="preserve">  Financiación</v>
          </cell>
          <cell r="AB117" t="str">
            <v>Causaciones</v>
          </cell>
          <cell r="AD117" t="str">
            <v>Var. reservas</v>
          </cell>
        </row>
        <row r="118">
          <cell r="E118" t="str">
            <v>e ingresos</v>
          </cell>
          <cell r="F118" t="str">
            <v>no financieros</v>
          </cell>
          <cell r="G118" t="str">
            <v>financieros</v>
          </cell>
          <cell r="I118" t="str">
            <v>totales</v>
          </cell>
          <cell r="P118" t="str">
            <v>privado¹</v>
          </cell>
          <cell r="Q118" t="str">
            <v>extranjera</v>
          </cell>
          <cell r="R118" t="str">
            <v>oficial¹</v>
          </cell>
          <cell r="S118" t="str">
            <v>especiales²</v>
          </cell>
          <cell r="T118" t="str">
            <v>neta</v>
          </cell>
          <cell r="Z118" t="str">
            <v>déficit en</v>
          </cell>
          <cell r="AA118" t="str">
            <v>neta</v>
          </cell>
          <cell r="AB118" t="str">
            <v>valuac. y prov.</v>
          </cell>
          <cell r="AD118" t="str">
            <v>netas</v>
          </cell>
        </row>
        <row r="119">
          <cell r="E119" t="str">
            <v>personales</v>
          </cell>
          <cell r="Q119" t="str">
            <v>neta</v>
          </cell>
          <cell r="Z119" t="str">
            <v>Cta. Cte.</v>
          </cell>
        </row>
        <row r="120">
          <cell r="C120" t="str">
            <v>Ene/92</v>
          </cell>
          <cell r="D120">
            <v>114511</v>
          </cell>
          <cell r="E120">
            <v>153740</v>
          </cell>
          <cell r="F120">
            <v>29600</v>
          </cell>
          <cell r="G120">
            <v>33905</v>
          </cell>
          <cell r="I120">
            <v>331756</v>
          </cell>
          <cell r="O120" t="str">
            <v>Ene/92</v>
          </cell>
          <cell r="P120">
            <v>0</v>
          </cell>
          <cell r="Q120">
            <v>0</v>
          </cell>
          <cell r="R120">
            <v>0</v>
          </cell>
          <cell r="S120">
            <v>0</v>
          </cell>
          <cell r="T120">
            <v>0</v>
          </cell>
          <cell r="Y120" t="str">
            <v>Ene/92</v>
          </cell>
          <cell r="Z120">
            <v>0</v>
          </cell>
          <cell r="AA120">
            <v>0</v>
          </cell>
          <cell r="AB120">
            <v>0</v>
          </cell>
          <cell r="AD120">
            <v>0</v>
          </cell>
        </row>
        <row r="121">
          <cell r="C121" t="str">
            <v>Feb</v>
          </cell>
          <cell r="D121">
            <v>182466</v>
          </cell>
          <cell r="E121">
            <v>281676</v>
          </cell>
          <cell r="F121">
            <v>61700</v>
          </cell>
          <cell r="G121">
            <v>67953</v>
          </cell>
          <cell r="I121">
            <v>593795</v>
          </cell>
          <cell r="O121" t="str">
            <v>Feb</v>
          </cell>
          <cell r="P121">
            <v>0</v>
          </cell>
          <cell r="Q121">
            <v>0</v>
          </cell>
          <cell r="R121">
            <v>0</v>
          </cell>
          <cell r="S121">
            <v>0</v>
          </cell>
          <cell r="T121">
            <v>0</v>
          </cell>
          <cell r="Y121" t="str">
            <v>Feb</v>
          </cell>
          <cell r="Z121">
            <v>0</v>
          </cell>
          <cell r="AA121">
            <v>0</v>
          </cell>
          <cell r="AB121">
            <v>0</v>
          </cell>
          <cell r="AD121">
            <v>0</v>
          </cell>
        </row>
        <row r="122">
          <cell r="C122" t="str">
            <v>Mar</v>
          </cell>
          <cell r="D122">
            <v>269818</v>
          </cell>
          <cell r="E122">
            <v>443310</v>
          </cell>
          <cell r="F122">
            <v>93100</v>
          </cell>
          <cell r="G122">
            <v>97478</v>
          </cell>
          <cell r="I122">
            <v>903706</v>
          </cell>
          <cell r="O122" t="str">
            <v>Mar</v>
          </cell>
          <cell r="P122">
            <v>0</v>
          </cell>
          <cell r="Q122">
            <v>0</v>
          </cell>
          <cell r="R122">
            <v>0</v>
          </cell>
          <cell r="S122">
            <v>0</v>
          </cell>
          <cell r="T122">
            <v>0</v>
          </cell>
          <cell r="Y122" t="str">
            <v>Mar</v>
          </cell>
          <cell r="Z122">
            <v>0</v>
          </cell>
          <cell r="AA122">
            <v>0</v>
          </cell>
          <cell r="AB122">
            <v>0</v>
          </cell>
          <cell r="AD122">
            <v>0</v>
          </cell>
        </row>
        <row r="123">
          <cell r="C123" t="str">
            <v>Abr</v>
          </cell>
          <cell r="D123">
            <v>345483</v>
          </cell>
          <cell r="E123">
            <v>595562</v>
          </cell>
          <cell r="F123">
            <v>126300</v>
          </cell>
          <cell r="G123">
            <v>126982</v>
          </cell>
          <cell r="I123">
            <v>1194327</v>
          </cell>
          <cell r="O123" t="str">
            <v>Abr</v>
          </cell>
          <cell r="P123">
            <v>0</v>
          </cell>
          <cell r="Q123">
            <v>0</v>
          </cell>
          <cell r="R123">
            <v>0</v>
          </cell>
          <cell r="S123">
            <v>0</v>
          </cell>
          <cell r="T123">
            <v>0</v>
          </cell>
          <cell r="Y123" t="str">
            <v>Abr</v>
          </cell>
          <cell r="Z123">
            <v>0</v>
          </cell>
          <cell r="AA123">
            <v>0</v>
          </cell>
          <cell r="AB123">
            <v>0</v>
          </cell>
          <cell r="AD123">
            <v>0</v>
          </cell>
        </row>
        <row r="124">
          <cell r="C124" t="str">
            <v>May</v>
          </cell>
          <cell r="D124">
            <v>406393</v>
          </cell>
          <cell r="E124">
            <v>783442</v>
          </cell>
          <cell r="F124">
            <v>155700</v>
          </cell>
          <cell r="G124">
            <v>161143</v>
          </cell>
          <cell r="I124">
            <v>1506678</v>
          </cell>
          <cell r="O124" t="str">
            <v>May</v>
          </cell>
          <cell r="P124">
            <v>0</v>
          </cell>
          <cell r="Q124">
            <v>0</v>
          </cell>
          <cell r="R124">
            <v>0</v>
          </cell>
          <cell r="S124">
            <v>0</v>
          </cell>
          <cell r="T124">
            <v>0</v>
          </cell>
          <cell r="Y124" t="str">
            <v>May</v>
          </cell>
          <cell r="Z124">
            <v>0</v>
          </cell>
          <cell r="AA124">
            <v>0</v>
          </cell>
          <cell r="AB124">
            <v>0</v>
          </cell>
          <cell r="AD124">
            <v>0</v>
          </cell>
        </row>
        <row r="125">
          <cell r="C125" t="str">
            <v>Jun</v>
          </cell>
          <cell r="D125">
            <v>476180</v>
          </cell>
          <cell r="E125">
            <v>970946</v>
          </cell>
          <cell r="F125">
            <v>182000</v>
          </cell>
          <cell r="G125">
            <v>192968</v>
          </cell>
          <cell r="I125">
            <v>1822094</v>
          </cell>
          <cell r="O125" t="str">
            <v>Jun</v>
          </cell>
          <cell r="P125">
            <v>0</v>
          </cell>
          <cell r="Q125">
            <v>0</v>
          </cell>
          <cell r="R125">
            <v>0</v>
          </cell>
          <cell r="S125">
            <v>0</v>
          </cell>
          <cell r="T125">
            <v>0</v>
          </cell>
          <cell r="Y125" t="str">
            <v>Jun</v>
          </cell>
          <cell r="Z125">
            <v>0</v>
          </cell>
          <cell r="AA125">
            <v>0</v>
          </cell>
          <cell r="AB125">
            <v>0</v>
          </cell>
          <cell r="AD125">
            <v>0</v>
          </cell>
        </row>
        <row r="126">
          <cell r="C126" t="str">
            <v>Jul</v>
          </cell>
          <cell r="D126">
            <v>547507</v>
          </cell>
          <cell r="E126">
            <v>1121655</v>
          </cell>
          <cell r="F126">
            <v>209800</v>
          </cell>
          <cell r="G126">
            <v>224540</v>
          </cell>
          <cell r="I126">
            <v>2103502</v>
          </cell>
          <cell r="O126" t="str">
            <v>Jul</v>
          </cell>
          <cell r="P126">
            <v>0</v>
          </cell>
          <cell r="Q126">
            <v>0</v>
          </cell>
          <cell r="R126">
            <v>0</v>
          </cell>
          <cell r="S126">
            <v>0</v>
          </cell>
          <cell r="T126">
            <v>0</v>
          </cell>
          <cell r="Y126" t="str">
            <v>Jul</v>
          </cell>
          <cell r="Z126">
            <v>0</v>
          </cell>
          <cell r="AA126">
            <v>0</v>
          </cell>
          <cell r="AB126">
            <v>0</v>
          </cell>
          <cell r="AD126">
            <v>0</v>
          </cell>
        </row>
        <row r="127">
          <cell r="C127" t="str">
            <v>Ago</v>
          </cell>
          <cell r="D127">
            <v>609528</v>
          </cell>
          <cell r="E127">
            <v>1202870</v>
          </cell>
          <cell r="F127">
            <v>237900</v>
          </cell>
          <cell r="G127">
            <v>256561</v>
          </cell>
          <cell r="I127">
            <v>2306859</v>
          </cell>
          <cell r="O127" t="str">
            <v>Ago</v>
          </cell>
          <cell r="P127">
            <v>0</v>
          </cell>
          <cell r="Q127">
            <v>0</v>
          </cell>
          <cell r="R127">
            <v>0</v>
          </cell>
          <cell r="S127">
            <v>0</v>
          </cell>
          <cell r="T127">
            <v>0</v>
          </cell>
          <cell r="Y127" t="str">
            <v>Ago</v>
          </cell>
          <cell r="Z127">
            <v>0</v>
          </cell>
          <cell r="AA127">
            <v>0</v>
          </cell>
          <cell r="AB127">
            <v>0</v>
          </cell>
          <cell r="AD127">
            <v>0</v>
          </cell>
        </row>
        <row r="128">
          <cell r="C128" t="str">
            <v>Sep</v>
          </cell>
          <cell r="D128">
            <v>705309</v>
          </cell>
          <cell r="E128">
            <v>1306602</v>
          </cell>
          <cell r="F128">
            <v>277800</v>
          </cell>
          <cell r="G128">
            <v>287128</v>
          </cell>
          <cell r="I128">
            <v>2576839</v>
          </cell>
          <cell r="O128" t="str">
            <v>Sep</v>
          </cell>
          <cell r="P128">
            <v>0</v>
          </cell>
          <cell r="Q128">
            <v>0</v>
          </cell>
          <cell r="R128">
            <v>0</v>
          </cell>
          <cell r="S128">
            <v>0</v>
          </cell>
          <cell r="T128">
            <v>0</v>
          </cell>
          <cell r="Y128" t="str">
            <v>Sep</v>
          </cell>
          <cell r="Z128">
            <v>0</v>
          </cell>
          <cell r="AA128">
            <v>0</v>
          </cell>
          <cell r="AB128">
            <v>0</v>
          </cell>
          <cell r="AD128">
            <v>0</v>
          </cell>
        </row>
        <row r="129">
          <cell r="C129" t="str">
            <v>Oct</v>
          </cell>
          <cell r="D129">
            <v>731988</v>
          </cell>
          <cell r="E129">
            <v>1389480</v>
          </cell>
          <cell r="F129">
            <v>339800</v>
          </cell>
          <cell r="G129">
            <v>330481</v>
          </cell>
          <cell r="I129">
            <v>2791749</v>
          </cell>
          <cell r="O129" t="str">
            <v>Oct</v>
          </cell>
          <cell r="P129">
            <v>0</v>
          </cell>
          <cell r="Q129">
            <v>0</v>
          </cell>
          <cell r="R129">
            <v>0</v>
          </cell>
          <cell r="S129">
            <v>0</v>
          </cell>
          <cell r="T129">
            <v>0</v>
          </cell>
          <cell r="Y129" t="str">
            <v>Oct</v>
          </cell>
          <cell r="Z129">
            <v>0</v>
          </cell>
          <cell r="AA129">
            <v>0</v>
          </cell>
          <cell r="AB129">
            <v>0</v>
          </cell>
          <cell r="AD129">
            <v>0</v>
          </cell>
        </row>
        <row r="130">
          <cell r="C130" t="str">
            <v>Nov</v>
          </cell>
          <cell r="D130">
            <v>765108</v>
          </cell>
          <cell r="E130">
            <v>1470365</v>
          </cell>
          <cell r="F130">
            <v>382900</v>
          </cell>
          <cell r="G130">
            <v>364688</v>
          </cell>
          <cell r="I130">
            <v>2983061</v>
          </cell>
          <cell r="O130" t="str">
            <v>Nov</v>
          </cell>
          <cell r="P130">
            <v>0</v>
          </cell>
          <cell r="Q130">
            <v>0</v>
          </cell>
          <cell r="R130">
            <v>0</v>
          </cell>
          <cell r="S130">
            <v>0</v>
          </cell>
          <cell r="T130">
            <v>0</v>
          </cell>
          <cell r="Y130" t="str">
            <v>Nov</v>
          </cell>
          <cell r="Z130">
            <v>0</v>
          </cell>
          <cell r="AA130">
            <v>0</v>
          </cell>
          <cell r="AB130">
            <v>0</v>
          </cell>
          <cell r="AD130">
            <v>0</v>
          </cell>
        </row>
        <row r="131">
          <cell r="C131" t="str">
            <v>Dic</v>
          </cell>
          <cell r="D131">
            <v>797385</v>
          </cell>
          <cell r="E131">
            <v>1592865</v>
          </cell>
          <cell r="F131">
            <v>416900</v>
          </cell>
          <cell r="G131">
            <v>395851</v>
          </cell>
          <cell r="I131">
            <v>3203001</v>
          </cell>
          <cell r="O131" t="str">
            <v>Dic</v>
          </cell>
          <cell r="P131">
            <v>0</v>
          </cell>
          <cell r="Q131">
            <v>0</v>
          </cell>
          <cell r="R131">
            <v>0</v>
          </cell>
          <cell r="S131">
            <v>0</v>
          </cell>
          <cell r="T131">
            <v>0</v>
          </cell>
          <cell r="Y131" t="str">
            <v>Dic</v>
          </cell>
          <cell r="Z131">
            <v>0</v>
          </cell>
          <cell r="AA131">
            <v>0</v>
          </cell>
          <cell r="AB131">
            <v>0</v>
          </cell>
          <cell r="AD131">
            <v>0</v>
          </cell>
        </row>
        <row r="132">
          <cell r="C132" t="str">
            <v>Ene/93</v>
          </cell>
          <cell r="D132">
            <v>42301.246950000001</v>
          </cell>
          <cell r="E132">
            <v>50717.076639999999</v>
          </cell>
          <cell r="F132">
            <v>25797.451659999999</v>
          </cell>
          <cell r="G132">
            <v>3826.4597199999998</v>
          </cell>
          <cell r="I132">
            <v>122642.23497</v>
          </cell>
          <cell r="O132" t="str">
            <v>Ene/93</v>
          </cell>
          <cell r="P132">
            <v>0</v>
          </cell>
          <cell r="Q132">
            <v>0</v>
          </cell>
          <cell r="R132">
            <v>0</v>
          </cell>
          <cell r="S132">
            <v>0</v>
          </cell>
          <cell r="T132">
            <v>0</v>
          </cell>
          <cell r="Y132" t="str">
            <v>Ene/93</v>
          </cell>
          <cell r="Z132">
            <v>0</v>
          </cell>
          <cell r="AA132">
            <v>0</v>
          </cell>
          <cell r="AB132">
            <v>0</v>
          </cell>
          <cell r="AD132">
            <v>0</v>
          </cell>
        </row>
        <row r="133">
          <cell r="C133" t="str">
            <v>Feb</v>
          </cell>
          <cell r="D133">
            <v>82985.200370000006</v>
          </cell>
          <cell r="E133">
            <v>134894.22963000002</v>
          </cell>
          <cell r="F133">
            <v>59266.951820000002</v>
          </cell>
          <cell r="G133">
            <v>23773.994859999999</v>
          </cell>
          <cell r="I133">
            <v>300920.37667999999</v>
          </cell>
          <cell r="O133" t="str">
            <v>Feb</v>
          </cell>
          <cell r="P133">
            <v>0</v>
          </cell>
          <cell r="Q133">
            <v>0</v>
          </cell>
          <cell r="R133">
            <v>0</v>
          </cell>
          <cell r="S133">
            <v>0</v>
          </cell>
          <cell r="T133">
            <v>0</v>
          </cell>
          <cell r="Y133" t="str">
            <v>Feb</v>
          </cell>
          <cell r="Z133">
            <v>0</v>
          </cell>
          <cell r="AA133">
            <v>0</v>
          </cell>
          <cell r="AB133">
            <v>0</v>
          </cell>
          <cell r="AD133">
            <v>0</v>
          </cell>
        </row>
        <row r="134">
          <cell r="C134" t="str">
            <v>Mar</v>
          </cell>
          <cell r="D134">
            <v>148335.22315999999</v>
          </cell>
          <cell r="E134">
            <v>228444.92926</v>
          </cell>
          <cell r="F134">
            <v>107786.55296</v>
          </cell>
          <cell r="G134">
            <v>43349.381309999997</v>
          </cell>
          <cell r="I134">
            <v>527916.08669000003</v>
          </cell>
          <cell r="O134" t="str">
            <v>Mar</v>
          </cell>
          <cell r="P134">
            <v>0</v>
          </cell>
          <cell r="Q134">
            <v>0</v>
          </cell>
          <cell r="R134">
            <v>0</v>
          </cell>
          <cell r="S134">
            <v>0</v>
          </cell>
          <cell r="T134">
            <v>0</v>
          </cell>
          <cell r="Y134" t="str">
            <v>Mar</v>
          </cell>
          <cell r="Z134">
            <v>0</v>
          </cell>
          <cell r="AA134">
            <v>0</v>
          </cell>
          <cell r="AB134">
            <v>0</v>
          </cell>
          <cell r="AD134">
            <v>0</v>
          </cell>
        </row>
        <row r="135">
          <cell r="C135" t="str">
            <v>Abr</v>
          </cell>
          <cell r="D135">
            <v>206255.25987000001</v>
          </cell>
          <cell r="E135">
            <v>347069.45279000001</v>
          </cell>
          <cell r="F135">
            <v>152427.35529000001</v>
          </cell>
          <cell r="G135">
            <v>77698.492039999997</v>
          </cell>
          <cell r="I135">
            <v>783450.55998999998</v>
          </cell>
          <cell r="O135" t="str">
            <v>Abr</v>
          </cell>
          <cell r="P135">
            <v>0</v>
          </cell>
          <cell r="Q135">
            <v>0</v>
          </cell>
          <cell r="R135">
            <v>0</v>
          </cell>
          <cell r="S135">
            <v>0</v>
          </cell>
          <cell r="T135">
            <v>0</v>
          </cell>
          <cell r="Y135" t="str">
            <v>Abr</v>
          </cell>
          <cell r="Z135">
            <v>0</v>
          </cell>
          <cell r="AA135">
            <v>0</v>
          </cell>
          <cell r="AB135">
            <v>0</v>
          </cell>
          <cell r="AD135">
            <v>0</v>
          </cell>
        </row>
        <row r="136">
          <cell r="C136" t="str">
            <v>May</v>
          </cell>
          <cell r="D136">
            <v>287742.18982999999</v>
          </cell>
          <cell r="E136">
            <v>513952.67582</v>
          </cell>
          <cell r="F136">
            <v>204250.33649000002</v>
          </cell>
          <cell r="G136">
            <v>127043.83215999999</v>
          </cell>
          <cell r="I136">
            <v>1132989.0342999999</v>
          </cell>
          <cell r="O136" t="str">
            <v>May</v>
          </cell>
          <cell r="P136">
            <v>0</v>
          </cell>
          <cell r="Q136">
            <v>0</v>
          </cell>
          <cell r="R136">
            <v>0</v>
          </cell>
          <cell r="S136">
            <v>0</v>
          </cell>
          <cell r="T136">
            <v>0</v>
          </cell>
          <cell r="Y136" t="str">
            <v>May</v>
          </cell>
          <cell r="Z136">
            <v>0</v>
          </cell>
          <cell r="AA136">
            <v>0</v>
          </cell>
          <cell r="AB136">
            <v>0</v>
          </cell>
          <cell r="AD136">
            <v>0</v>
          </cell>
        </row>
        <row r="137">
          <cell r="C137" t="str">
            <v>Jun</v>
          </cell>
          <cell r="D137">
            <v>364940.5907</v>
          </cell>
          <cell r="E137">
            <v>710329.06254000007</v>
          </cell>
          <cell r="F137">
            <v>280513.16982000001</v>
          </cell>
          <cell r="G137">
            <v>199550.53151</v>
          </cell>
          <cell r="I137">
            <v>1555333.35457</v>
          </cell>
          <cell r="O137" t="str">
            <v>Jun</v>
          </cell>
          <cell r="P137">
            <v>0</v>
          </cell>
          <cell r="Q137">
            <v>0</v>
          </cell>
          <cell r="R137">
            <v>0</v>
          </cell>
          <cell r="S137">
            <v>0</v>
          </cell>
          <cell r="T137">
            <v>0</v>
          </cell>
          <cell r="Y137" t="str">
            <v>Jun</v>
          </cell>
          <cell r="Z137">
            <v>0</v>
          </cell>
          <cell r="AA137">
            <v>0</v>
          </cell>
          <cell r="AB137">
            <v>0</v>
          </cell>
          <cell r="AD137">
            <v>0</v>
          </cell>
        </row>
        <row r="138">
          <cell r="C138" t="str">
            <v>Jul</v>
          </cell>
          <cell r="D138">
            <v>436587.07669000002</v>
          </cell>
          <cell r="E138">
            <v>806829.32422000007</v>
          </cell>
          <cell r="F138">
            <v>334521.87355000002</v>
          </cell>
          <cell r="G138">
            <v>248723.38529000001</v>
          </cell>
          <cell r="I138">
            <v>1826661.6597500001</v>
          </cell>
          <cell r="O138" t="str">
            <v>Jul</v>
          </cell>
          <cell r="P138">
            <v>0</v>
          </cell>
          <cell r="Q138">
            <v>0</v>
          </cell>
          <cell r="R138">
            <v>0</v>
          </cell>
          <cell r="S138">
            <v>0</v>
          </cell>
          <cell r="T138">
            <v>0</v>
          </cell>
          <cell r="Y138" t="str">
            <v>Jul</v>
          </cell>
          <cell r="Z138">
            <v>0</v>
          </cell>
          <cell r="AA138">
            <v>0</v>
          </cell>
          <cell r="AB138">
            <v>0</v>
          </cell>
          <cell r="AD138">
            <v>0</v>
          </cell>
        </row>
        <row r="139">
          <cell r="C139" t="str">
            <v>Ago</v>
          </cell>
          <cell r="D139">
            <v>511233.05907000002</v>
          </cell>
          <cell r="E139">
            <v>887786.80666000012</v>
          </cell>
          <cell r="F139">
            <v>375592.93824000005</v>
          </cell>
          <cell r="G139">
            <v>320826.12849999999</v>
          </cell>
          <cell r="I139">
            <v>2095438.9324700001</v>
          </cell>
          <cell r="O139" t="str">
            <v>Ago</v>
          </cell>
          <cell r="P139">
            <v>0</v>
          </cell>
          <cell r="Q139">
            <v>0</v>
          </cell>
          <cell r="R139">
            <v>0</v>
          </cell>
          <cell r="S139">
            <v>0</v>
          </cell>
          <cell r="T139">
            <v>0</v>
          </cell>
          <cell r="Y139" t="str">
            <v>Ago</v>
          </cell>
          <cell r="Z139">
            <v>0</v>
          </cell>
          <cell r="AA139">
            <v>0</v>
          </cell>
          <cell r="AB139">
            <v>0</v>
          </cell>
          <cell r="AD139">
            <v>0</v>
          </cell>
        </row>
        <row r="140">
          <cell r="C140" t="str">
            <v>Sep</v>
          </cell>
          <cell r="D140">
            <v>572920.04431999999</v>
          </cell>
          <cell r="E140">
            <v>981997.49332000013</v>
          </cell>
          <cell r="F140">
            <v>424769.12043000007</v>
          </cell>
          <cell r="G140">
            <v>373292.85861</v>
          </cell>
          <cell r="I140">
            <v>2352979.5166800003</v>
          </cell>
          <cell r="O140" t="str">
            <v>Sep</v>
          </cell>
          <cell r="P140">
            <v>0</v>
          </cell>
          <cell r="Q140">
            <v>0</v>
          </cell>
          <cell r="R140">
            <v>0</v>
          </cell>
          <cell r="S140">
            <v>0</v>
          </cell>
          <cell r="T140">
            <v>0</v>
          </cell>
          <cell r="Y140" t="str">
            <v>Sep</v>
          </cell>
          <cell r="Z140">
            <v>0</v>
          </cell>
          <cell r="AA140">
            <v>0</v>
          </cell>
          <cell r="AB140">
            <v>0</v>
          </cell>
          <cell r="AD140">
            <v>0</v>
          </cell>
        </row>
        <row r="141">
          <cell r="C141" t="str">
            <v>Oct*</v>
          </cell>
          <cell r="D141">
            <v>622645.93871000002</v>
          </cell>
          <cell r="E141">
            <v>1032323.0432600002</v>
          </cell>
          <cell r="F141">
            <v>484610.70333000005</v>
          </cell>
          <cell r="G141">
            <v>436620.14929999999</v>
          </cell>
          <cell r="I141">
            <v>2576199.8346000002</v>
          </cell>
          <cell r="O141" t="str">
            <v>Oct*</v>
          </cell>
          <cell r="P141">
            <v>0</v>
          </cell>
          <cell r="Q141">
            <v>0</v>
          </cell>
          <cell r="R141">
            <v>0</v>
          </cell>
          <cell r="S141">
            <v>0</v>
          </cell>
          <cell r="T141">
            <v>0</v>
          </cell>
          <cell r="Y141" t="str">
            <v>Oct*</v>
          </cell>
          <cell r="Z141">
            <v>0</v>
          </cell>
          <cell r="AA141">
            <v>0</v>
          </cell>
          <cell r="AB141">
            <v>0</v>
          </cell>
          <cell r="AD141">
            <v>0</v>
          </cell>
        </row>
        <row r="142">
          <cell r="C142" t="str">
            <v>Nov*</v>
          </cell>
          <cell r="D142">
            <v>696104.40433000005</v>
          </cell>
          <cell r="E142">
            <v>1091125.5622800002</v>
          </cell>
          <cell r="F142">
            <v>532814.41276000009</v>
          </cell>
          <cell r="G142">
            <v>479708.41436</v>
          </cell>
          <cell r="I142">
            <v>2799752.79373</v>
          </cell>
          <cell r="O142" t="str">
            <v>Nov*</v>
          </cell>
          <cell r="P142">
            <v>0</v>
          </cell>
          <cell r="Q142">
            <v>0</v>
          </cell>
          <cell r="R142">
            <v>0</v>
          </cell>
          <cell r="S142">
            <v>0</v>
          </cell>
          <cell r="T142">
            <v>0</v>
          </cell>
          <cell r="Y142" t="str">
            <v>Nov*</v>
          </cell>
          <cell r="Z142">
            <v>0</v>
          </cell>
          <cell r="AA142">
            <v>0</v>
          </cell>
          <cell r="AB142">
            <v>0</v>
          </cell>
          <cell r="AD142">
            <v>0</v>
          </cell>
        </row>
        <row r="143">
          <cell r="C143" t="str">
            <v>Dic*</v>
          </cell>
          <cell r="D143">
            <v>734371.78551000007</v>
          </cell>
          <cell r="E143">
            <v>1153035.6183600002</v>
          </cell>
          <cell r="F143">
            <v>623565.82502000011</v>
          </cell>
          <cell r="G143">
            <v>529355.31866999995</v>
          </cell>
          <cell r="I143">
            <v>3040328.5475599999</v>
          </cell>
          <cell r="O143" t="str">
            <v>Dic*</v>
          </cell>
          <cell r="P143">
            <v>0</v>
          </cell>
          <cell r="Q143">
            <v>0</v>
          </cell>
          <cell r="R143">
            <v>0</v>
          </cell>
          <cell r="S143">
            <v>0</v>
          </cell>
          <cell r="T143">
            <v>0</v>
          </cell>
          <cell r="Y143" t="str">
            <v>Dic*</v>
          </cell>
          <cell r="Z143">
            <v>0</v>
          </cell>
          <cell r="AA143">
            <v>0</v>
          </cell>
          <cell r="AB143">
            <v>0</v>
          </cell>
          <cell r="AD143">
            <v>0</v>
          </cell>
        </row>
        <row r="144">
          <cell r="B144">
            <v>1994</v>
          </cell>
          <cell r="C144" t="str">
            <v>Ene</v>
          </cell>
          <cell r="D144">
            <v>52309.503879999997</v>
          </cell>
          <cell r="E144">
            <v>60242.882149999998</v>
          </cell>
          <cell r="F144">
            <v>89650.704140000002</v>
          </cell>
          <cell r="G144">
            <v>9462.7562500000004</v>
          </cell>
          <cell r="I144">
            <v>211665.84641999999</v>
          </cell>
          <cell r="N144">
            <v>1994</v>
          </cell>
          <cell r="O144" t="str">
            <v>Ene</v>
          </cell>
          <cell r="P144">
            <v>98856.574869999997</v>
          </cell>
          <cell r="Q144">
            <v>4289.4307799999997</v>
          </cell>
          <cell r="R144">
            <v>36038.230360000001</v>
          </cell>
          <cell r="S144">
            <v>-58487.178059999998</v>
          </cell>
          <cell r="T144">
            <v>80697.057950000002</v>
          </cell>
          <cell r="X144">
            <v>1994</v>
          </cell>
          <cell r="Y144" t="str">
            <v>Ene</v>
          </cell>
          <cell r="Z144">
            <v>-4908.22703</v>
          </cell>
          <cell r="AA144">
            <v>80697.057950000002</v>
          </cell>
          <cell r="AB144">
            <v>44490.059780000003</v>
          </cell>
          <cell r="AD144">
            <v>120278.89070000002</v>
          </cell>
        </row>
        <row r="145">
          <cell r="C145" t="str">
            <v>Feb</v>
          </cell>
          <cell r="D145">
            <v>116683.37153</v>
          </cell>
          <cell r="E145">
            <v>122180.88803999999</v>
          </cell>
          <cell r="F145">
            <v>161920.88153000001</v>
          </cell>
          <cell r="G145">
            <v>38392.205869999998</v>
          </cell>
          <cell r="I145">
            <v>439177.34696999996</v>
          </cell>
          <cell r="O145" t="str">
            <v>Feb</v>
          </cell>
          <cell r="P145">
            <v>163135.79848999999</v>
          </cell>
          <cell r="Q145">
            <v>58439.752120000005</v>
          </cell>
          <cell r="R145">
            <v>35209.339830000004</v>
          </cell>
          <cell r="S145">
            <v>-131003.14214000001</v>
          </cell>
          <cell r="T145">
            <v>125781.74830000001</v>
          </cell>
          <cell r="Y145" t="str">
            <v>Feb</v>
          </cell>
          <cell r="Z145">
            <v>7078.2721099999999</v>
          </cell>
          <cell r="AA145">
            <v>125781.74830000001</v>
          </cell>
          <cell r="AB145">
            <v>79208.181400000001</v>
          </cell>
          <cell r="AD145">
            <v>212068.20181</v>
          </cell>
        </row>
        <row r="146">
          <cell r="C146" t="str">
            <v>Mar</v>
          </cell>
          <cell r="D146">
            <v>190488.26367000001</v>
          </cell>
          <cell r="E146">
            <v>183206.96518999999</v>
          </cell>
          <cell r="F146">
            <v>311553.44321000006</v>
          </cell>
          <cell r="G146">
            <v>66297.33236</v>
          </cell>
          <cell r="I146">
            <v>751546.00442999997</v>
          </cell>
          <cell r="O146" t="str">
            <v>Mar</v>
          </cell>
          <cell r="P146">
            <v>292687.72840000002</v>
          </cell>
          <cell r="Q146">
            <v>68166.677920000002</v>
          </cell>
          <cell r="R146">
            <v>45667.720420000005</v>
          </cell>
          <cell r="S146">
            <v>-193357.68222000002</v>
          </cell>
          <cell r="T146">
            <v>213164.44452000002</v>
          </cell>
          <cell r="Y146" t="str">
            <v>Mar</v>
          </cell>
          <cell r="Z146">
            <v>-30466.890290000003</v>
          </cell>
          <cell r="AA146">
            <v>213164.44452000002</v>
          </cell>
          <cell r="AB146">
            <v>78908.181400000001</v>
          </cell>
          <cell r="AD146">
            <v>261605.73563000001</v>
          </cell>
        </row>
        <row r="147">
          <cell r="C147" t="str">
            <v>Abr</v>
          </cell>
          <cell r="D147">
            <v>263547.70893000002</v>
          </cell>
          <cell r="E147">
            <v>252303.37766999999</v>
          </cell>
          <cell r="F147">
            <v>392025.41069000005</v>
          </cell>
          <cell r="G147">
            <v>100045.92303000001</v>
          </cell>
          <cell r="I147">
            <v>1007922.42032</v>
          </cell>
          <cell r="O147" t="str">
            <v>Abr</v>
          </cell>
          <cell r="P147">
            <v>339781.55667000002</v>
          </cell>
          <cell r="Q147">
            <v>64521.838670000005</v>
          </cell>
          <cell r="R147">
            <v>-72021.319040000002</v>
          </cell>
          <cell r="S147">
            <v>-164152.77243000001</v>
          </cell>
          <cell r="T147">
            <v>168129.30387</v>
          </cell>
          <cell r="Y147" t="str">
            <v>Abr</v>
          </cell>
          <cell r="Z147">
            <v>-242389.72596000001</v>
          </cell>
          <cell r="AA147">
            <v>168129.30387</v>
          </cell>
          <cell r="AB147">
            <v>86008.181400000001</v>
          </cell>
          <cell r="AD147">
            <v>11747.759309999994</v>
          </cell>
        </row>
        <row r="148">
          <cell r="C148" t="str">
            <v>May</v>
          </cell>
          <cell r="D148">
            <v>352689.45480000001</v>
          </cell>
          <cell r="E148">
            <v>325508.50426999998</v>
          </cell>
          <cell r="F148">
            <v>469087.46983000007</v>
          </cell>
          <cell r="G148">
            <v>150248.90960000001</v>
          </cell>
          <cell r="I148">
            <v>1297534.3385000001</v>
          </cell>
          <cell r="O148" t="str">
            <v>May</v>
          </cell>
          <cell r="P148">
            <v>417322.30219000002</v>
          </cell>
          <cell r="Q148">
            <v>111343.97708000001</v>
          </cell>
          <cell r="R148">
            <v>-54229.810240000006</v>
          </cell>
          <cell r="S148">
            <v>-231627.12654000003</v>
          </cell>
          <cell r="T148">
            <v>242809.34249000001</v>
          </cell>
          <cell r="Y148" t="str">
            <v>May</v>
          </cell>
          <cell r="Z148">
            <v>-322884.73758000002</v>
          </cell>
          <cell r="AA148">
            <v>242809.34249000001</v>
          </cell>
          <cell r="AB148">
            <v>61608.181400000001</v>
          </cell>
          <cell r="AD148">
            <v>-18467.213690000004</v>
          </cell>
        </row>
        <row r="149">
          <cell r="C149" t="str">
            <v>Jun</v>
          </cell>
          <cell r="D149">
            <v>381672.81403000001</v>
          </cell>
          <cell r="E149">
            <v>398711.33597999997</v>
          </cell>
          <cell r="F149">
            <v>553549.26296000008</v>
          </cell>
          <cell r="G149">
            <v>186132.68792</v>
          </cell>
          <cell r="I149">
            <v>1520066.1008900001</v>
          </cell>
          <cell r="O149" t="str">
            <v>Jun</v>
          </cell>
          <cell r="P149">
            <v>498822.28574000002</v>
          </cell>
          <cell r="Q149">
            <v>159277.03232</v>
          </cell>
          <cell r="R149">
            <v>24672.09607</v>
          </cell>
          <cell r="S149">
            <v>-181523.99544000003</v>
          </cell>
          <cell r="T149">
            <v>501247.41869000002</v>
          </cell>
          <cell r="Y149" t="str">
            <v>Jun</v>
          </cell>
          <cell r="Z149">
            <v>-521173.18310000002</v>
          </cell>
          <cell r="AA149">
            <v>501247.41869000002</v>
          </cell>
          <cell r="AB149">
            <v>139608.1814</v>
          </cell>
          <cell r="AD149">
            <v>119682.41699</v>
          </cell>
        </row>
        <row r="150">
          <cell r="C150" t="str">
            <v>Jul</v>
          </cell>
          <cell r="D150">
            <v>408482.53704000002</v>
          </cell>
          <cell r="E150">
            <v>452581.80963999999</v>
          </cell>
          <cell r="F150">
            <v>652679.59634000005</v>
          </cell>
          <cell r="G150">
            <v>226383.65416999999</v>
          </cell>
          <cell r="I150">
            <v>1740127.5971900001</v>
          </cell>
          <cell r="O150" t="str">
            <v>Jul</v>
          </cell>
          <cell r="P150">
            <v>556420.24680000008</v>
          </cell>
          <cell r="Q150">
            <v>205269.52627</v>
          </cell>
          <cell r="R150">
            <v>31093.630539999998</v>
          </cell>
          <cell r="S150">
            <v>-161827.35167000003</v>
          </cell>
          <cell r="T150">
            <v>630956.05194000003</v>
          </cell>
          <cell r="Y150" t="str">
            <v>Jul</v>
          </cell>
          <cell r="Z150">
            <v>-678652.81634999998</v>
          </cell>
          <cell r="AA150">
            <v>630956.05194000003</v>
          </cell>
          <cell r="AB150">
            <v>145908.1814</v>
          </cell>
          <cell r="AD150">
            <v>98211.416990000056</v>
          </cell>
        </row>
        <row r="151">
          <cell r="C151" t="str">
            <v>Ago</v>
          </cell>
          <cell r="D151">
            <v>455288.84537</v>
          </cell>
          <cell r="E151">
            <v>539421.11817000003</v>
          </cell>
          <cell r="F151">
            <v>770958.90239000006</v>
          </cell>
          <cell r="G151">
            <v>283131.47580000001</v>
          </cell>
          <cell r="I151">
            <v>2048800.34173</v>
          </cell>
          <cell r="O151" t="str">
            <v>Ago</v>
          </cell>
          <cell r="P151">
            <v>734160.07938000001</v>
          </cell>
          <cell r="Q151">
            <v>265603.60236999998</v>
          </cell>
          <cell r="R151">
            <v>-7941.8781799999997</v>
          </cell>
          <cell r="S151">
            <v>-72245.719490000032</v>
          </cell>
          <cell r="T151">
            <v>919576.08408000006</v>
          </cell>
          <cell r="Y151" t="str">
            <v>Ago</v>
          </cell>
          <cell r="Z151">
            <v>-939879.19877000002</v>
          </cell>
          <cell r="AA151">
            <v>919576.08408000006</v>
          </cell>
          <cell r="AB151">
            <v>122508.1814</v>
          </cell>
          <cell r="AD151">
            <v>102205.06671000004</v>
          </cell>
        </row>
        <row r="152">
          <cell r="C152" t="str">
            <v>Sep</v>
          </cell>
          <cell r="D152">
            <v>506184.58366</v>
          </cell>
          <cell r="E152">
            <v>629330.84243000008</v>
          </cell>
          <cell r="F152">
            <v>925964.50351000007</v>
          </cell>
          <cell r="G152">
            <v>328807.51423999999</v>
          </cell>
          <cell r="I152">
            <v>2390287.4438399998</v>
          </cell>
          <cell r="O152" t="str">
            <v>Sep</v>
          </cell>
          <cell r="P152">
            <v>950493.48565000005</v>
          </cell>
          <cell r="Q152">
            <v>315689.36430999998</v>
          </cell>
          <cell r="R152">
            <v>-213901.94933999999</v>
          </cell>
          <cell r="S152">
            <v>-138841.40364000003</v>
          </cell>
          <cell r="T152">
            <v>913439.49698000005</v>
          </cell>
          <cell r="Y152" t="str">
            <v>Sep</v>
          </cell>
          <cell r="Z152">
            <v>-1134085.97655</v>
          </cell>
          <cell r="AA152">
            <v>913439.49698000005</v>
          </cell>
          <cell r="AB152">
            <v>126608.1814</v>
          </cell>
          <cell r="AD152">
            <v>-94038.298169999965</v>
          </cell>
        </row>
        <row r="153">
          <cell r="C153" t="str">
            <v>Oct</v>
          </cell>
          <cell r="D153">
            <v>554677.86543999997</v>
          </cell>
          <cell r="E153">
            <v>700315.17301000003</v>
          </cell>
          <cell r="F153">
            <v>1040133.67104</v>
          </cell>
          <cell r="G153">
            <v>392411.62725999998</v>
          </cell>
          <cell r="I153">
            <v>2687538.3367499998</v>
          </cell>
          <cell r="O153" t="str">
            <v>Oct</v>
          </cell>
          <cell r="P153">
            <v>1123462.57012</v>
          </cell>
          <cell r="Q153">
            <v>360928.68093999999</v>
          </cell>
          <cell r="R153">
            <v>197821.18726000004</v>
          </cell>
          <cell r="S153">
            <v>-532159.01361000002</v>
          </cell>
          <cell r="T153">
            <v>1150053.4247099999</v>
          </cell>
          <cell r="Y153" t="str">
            <v>Oct</v>
          </cell>
          <cell r="Z153">
            <v>-1408181.49367</v>
          </cell>
          <cell r="AA153">
            <v>1150053.4247099999</v>
          </cell>
          <cell r="AB153">
            <v>180808.1814</v>
          </cell>
          <cell r="AD153">
            <v>-77319.887560000061</v>
          </cell>
        </row>
        <row r="154">
          <cell r="C154" t="str">
            <v>Nov</v>
          </cell>
          <cell r="D154">
            <v>602474.94834999996</v>
          </cell>
          <cell r="E154">
            <v>768661.21135</v>
          </cell>
          <cell r="F154">
            <v>1168721.81149</v>
          </cell>
          <cell r="G154">
            <v>431011.87627000001</v>
          </cell>
          <cell r="I154">
            <v>2970869.8474599998</v>
          </cell>
          <cell r="O154" t="str">
            <v>Nov</v>
          </cell>
          <cell r="P154">
            <v>1351655.56911</v>
          </cell>
          <cell r="Q154">
            <v>435241.87265999999</v>
          </cell>
          <cell r="R154">
            <v>-294446.52615999995</v>
          </cell>
          <cell r="S154">
            <v>-135890.48195000004</v>
          </cell>
          <cell r="T154">
            <v>1356560.4336599999</v>
          </cell>
          <cell r="Y154" t="str">
            <v>Nov</v>
          </cell>
          <cell r="Z154">
            <v>-1582503.5521</v>
          </cell>
          <cell r="AA154">
            <v>1356560.4336599999</v>
          </cell>
          <cell r="AB154">
            <v>86108.181400000001</v>
          </cell>
          <cell r="AD154">
            <v>-139834.93704000011</v>
          </cell>
        </row>
        <row r="155">
          <cell r="C155" t="str">
            <v>Dic</v>
          </cell>
          <cell r="D155">
            <v>646338.69303999993</v>
          </cell>
          <cell r="E155">
            <v>835048.32538000005</v>
          </cell>
          <cell r="F155">
            <v>1322121.48273</v>
          </cell>
          <cell r="G155">
            <v>460216.28084000002</v>
          </cell>
          <cell r="I155">
            <v>3263724.78199</v>
          </cell>
          <cell r="O155" t="str">
            <v>Dic</v>
          </cell>
          <cell r="P155">
            <v>1818689.6009900002</v>
          </cell>
          <cell r="Q155">
            <v>610247.36189000006</v>
          </cell>
          <cell r="R155">
            <v>-197165.58024999994</v>
          </cell>
          <cell r="S155">
            <v>-188750.23584000004</v>
          </cell>
          <cell r="T155">
            <v>2043021.1467899999</v>
          </cell>
          <cell r="Y155" t="str">
            <v>Dic</v>
          </cell>
          <cell r="Z155">
            <v>-1914708.11154</v>
          </cell>
          <cell r="AA155">
            <v>2043021.1467899999</v>
          </cell>
          <cell r="AB155">
            <v>5000</v>
          </cell>
          <cell r="AD155">
            <v>133313.03524999996</v>
          </cell>
        </row>
        <row r="156">
          <cell r="B156">
            <v>1995</v>
          </cell>
          <cell r="C156" t="str">
            <v>Ene</v>
          </cell>
          <cell r="D156">
            <v>41711.25877</v>
          </cell>
          <cell r="E156">
            <v>63400.035909999999</v>
          </cell>
          <cell r="F156">
            <v>128962.54674999999</v>
          </cell>
          <cell r="G156">
            <v>24618.388719999999</v>
          </cell>
          <cell r="I156">
            <v>258692.23014999999</v>
          </cell>
          <cell r="N156">
            <v>1995</v>
          </cell>
          <cell r="O156" t="str">
            <v>Ene</v>
          </cell>
          <cell r="P156">
            <v>143569.62966999999</v>
          </cell>
          <cell r="Q156">
            <v>48357.10555</v>
          </cell>
          <cell r="R156">
            <v>24618.561959999999</v>
          </cell>
          <cell r="S156">
            <v>122751.70388930275</v>
          </cell>
          <cell r="T156">
            <v>339297.00106930273</v>
          </cell>
          <cell r="X156">
            <v>1995</v>
          </cell>
          <cell r="Y156" t="str">
            <v>Ene</v>
          </cell>
          <cell r="Z156">
            <v>-477955.06040999998</v>
          </cell>
          <cell r="AA156">
            <v>339297.00106930273</v>
          </cell>
          <cell r="AB156">
            <v>87100</v>
          </cell>
          <cell r="AD156">
            <v>-51558.059340697248</v>
          </cell>
        </row>
        <row r="157">
          <cell r="C157" t="str">
            <v>Feb</v>
          </cell>
          <cell r="D157">
            <v>80041.020450000011</v>
          </cell>
          <cell r="E157">
            <v>147406.82008999999</v>
          </cell>
          <cell r="F157">
            <v>241685.68948999999</v>
          </cell>
          <cell r="G157">
            <v>86559.603929999997</v>
          </cell>
          <cell r="I157">
            <v>555693.13396000001</v>
          </cell>
          <cell r="O157" t="str">
            <v>Feb</v>
          </cell>
          <cell r="P157">
            <v>310805.53576</v>
          </cell>
          <cell r="Q157">
            <v>15238.130019999997</v>
          </cell>
          <cell r="R157">
            <v>46298.714850000004</v>
          </cell>
          <cell r="S157">
            <v>222630.54257099447</v>
          </cell>
          <cell r="T157">
            <v>594972.9232009945</v>
          </cell>
          <cell r="Y157" t="str">
            <v>Feb</v>
          </cell>
          <cell r="Z157">
            <v>-683421.07852999994</v>
          </cell>
          <cell r="AA157">
            <v>594972.9232009945</v>
          </cell>
          <cell r="AB157">
            <v>169000</v>
          </cell>
          <cell r="AD157">
            <v>80551.844670994557</v>
          </cell>
        </row>
        <row r="158">
          <cell r="C158" t="str">
            <v>Mar</v>
          </cell>
          <cell r="D158">
            <v>119999.27098</v>
          </cell>
          <cell r="E158">
            <v>231854.31164999999</v>
          </cell>
          <cell r="F158">
            <v>358956.91550999996</v>
          </cell>
          <cell r="G158">
            <v>189307.63624999998</v>
          </cell>
          <cell r="I158">
            <v>900118.13439000002</v>
          </cell>
          <cell r="O158" t="str">
            <v>Mar</v>
          </cell>
          <cell r="P158">
            <v>372949.88582999998</v>
          </cell>
          <cell r="Q158">
            <v>45819.850720000002</v>
          </cell>
          <cell r="R158">
            <v>146039.23001</v>
          </cell>
          <cell r="S158">
            <v>261664.47047238497</v>
          </cell>
          <cell r="T158">
            <v>826473.43703238503</v>
          </cell>
          <cell r="Y158" t="str">
            <v>Mar</v>
          </cell>
          <cell r="Z158">
            <v>-860306.60493999999</v>
          </cell>
          <cell r="AA158">
            <v>826473.43703238503</v>
          </cell>
          <cell r="AB158">
            <v>345000</v>
          </cell>
          <cell r="AD158">
            <v>311166.83209238504</v>
          </cell>
        </row>
        <row r="159">
          <cell r="C159" t="str">
            <v>Abr</v>
          </cell>
          <cell r="D159">
            <v>190180.05254</v>
          </cell>
          <cell r="E159">
            <v>293505.43014999997</v>
          </cell>
          <cell r="F159">
            <v>439695.58842999995</v>
          </cell>
          <cell r="G159">
            <v>252370.10944999999</v>
          </cell>
          <cell r="I159">
            <v>1175751.1805700001</v>
          </cell>
          <cell r="O159" t="str">
            <v>Abr</v>
          </cell>
          <cell r="P159">
            <v>428534.05757999996</v>
          </cell>
          <cell r="Q159">
            <v>128805.26086000001</v>
          </cell>
          <cell r="R159">
            <v>276590.74465999997</v>
          </cell>
          <cell r="S159">
            <v>311709.38864918798</v>
          </cell>
          <cell r="T159">
            <v>1145639.4517491879</v>
          </cell>
          <cell r="Y159" t="str">
            <v>Abr</v>
          </cell>
          <cell r="Z159">
            <v>-1099512.29281</v>
          </cell>
          <cell r="AA159">
            <v>1145639.4517491879</v>
          </cell>
          <cell r="AB159">
            <v>360600</v>
          </cell>
          <cell r="AD159">
            <v>406727.15893918788</v>
          </cell>
        </row>
        <row r="160">
          <cell r="C160" t="str">
            <v>May</v>
          </cell>
          <cell r="D160">
            <v>215742.68934000001</v>
          </cell>
          <cell r="E160">
            <v>351781.26839999994</v>
          </cell>
          <cell r="F160">
            <v>524375.42071999994</v>
          </cell>
          <cell r="G160">
            <v>340504.38000999996</v>
          </cell>
          <cell r="I160">
            <v>1432403.75847</v>
          </cell>
          <cell r="O160" t="str">
            <v>May</v>
          </cell>
          <cell r="P160">
            <v>499725.75001999998</v>
          </cell>
          <cell r="Q160">
            <v>180077.33512</v>
          </cell>
          <cell r="R160">
            <v>278867.07143999997</v>
          </cell>
          <cell r="S160">
            <v>393565.03766130761</v>
          </cell>
          <cell r="T160">
            <v>1352235.1942413074</v>
          </cell>
          <cell r="Y160" t="str">
            <v>May</v>
          </cell>
          <cell r="Z160">
            <v>-1216708.1097299999</v>
          </cell>
          <cell r="AA160">
            <v>1352235.1942413074</v>
          </cell>
          <cell r="AB160">
            <v>381000</v>
          </cell>
          <cell r="AD160">
            <v>516527.08451130753</v>
          </cell>
        </row>
        <row r="161">
          <cell r="C161" t="str">
            <v>Jun</v>
          </cell>
          <cell r="D161">
            <v>236243.00750000001</v>
          </cell>
          <cell r="E161">
            <v>434800.78154999996</v>
          </cell>
          <cell r="F161">
            <v>618185.45096999989</v>
          </cell>
          <cell r="G161">
            <v>420952.01181999996</v>
          </cell>
          <cell r="I161">
            <v>1710181.25184</v>
          </cell>
          <cell r="O161" t="str">
            <v>Jun</v>
          </cell>
          <cell r="P161">
            <v>612777.15822999994</v>
          </cell>
          <cell r="Q161">
            <v>257995.76123</v>
          </cell>
          <cell r="R161">
            <v>287839.47338999994</v>
          </cell>
          <cell r="S161">
            <v>400060.87094591447</v>
          </cell>
          <cell r="T161">
            <v>1558673.2637959144</v>
          </cell>
          <cell r="Y161" t="str">
            <v>Jun</v>
          </cell>
          <cell r="Z161">
            <v>-1373552.9197999998</v>
          </cell>
          <cell r="AA161">
            <v>1558673.2637959144</v>
          </cell>
          <cell r="AB161">
            <v>366700</v>
          </cell>
          <cell r="AD161">
            <v>551820.34399591456</v>
          </cell>
        </row>
        <row r="162">
          <cell r="C162" t="str">
            <v>Jul</v>
          </cell>
          <cell r="D162">
            <v>256874.33543000001</v>
          </cell>
          <cell r="E162">
            <v>494774.68935999996</v>
          </cell>
          <cell r="F162">
            <v>726063.44278999988</v>
          </cell>
          <cell r="G162">
            <v>514590.58133999998</v>
          </cell>
          <cell r="I162">
            <v>1992303.04892</v>
          </cell>
          <cell r="O162" t="str">
            <v>Jul</v>
          </cell>
          <cell r="P162">
            <v>657696.09904999996</v>
          </cell>
          <cell r="Q162">
            <v>369379.71534</v>
          </cell>
          <cell r="R162">
            <v>297826.53537999996</v>
          </cell>
          <cell r="S162">
            <v>463592.05407010746</v>
          </cell>
          <cell r="T162">
            <v>1788494.4038401074</v>
          </cell>
          <cell r="Y162" t="str">
            <v>Jul</v>
          </cell>
          <cell r="Z162">
            <v>-1550178.0840999999</v>
          </cell>
          <cell r="AA162">
            <v>1788494.4038401074</v>
          </cell>
          <cell r="AB162">
            <v>302600</v>
          </cell>
          <cell r="AD162">
            <v>540916.31974010752</v>
          </cell>
        </row>
        <row r="163">
          <cell r="C163" t="str">
            <v>Ago</v>
          </cell>
          <cell r="D163">
            <v>285381.14879000001</v>
          </cell>
          <cell r="E163">
            <v>558163.36323999998</v>
          </cell>
          <cell r="F163">
            <v>831988.8428199999</v>
          </cell>
          <cell r="G163">
            <v>587610.90472999995</v>
          </cell>
          <cell r="I163">
            <v>2263144.2595799998</v>
          </cell>
          <cell r="O163" t="str">
            <v>Ago</v>
          </cell>
          <cell r="P163">
            <v>841231.54352999991</v>
          </cell>
          <cell r="Q163">
            <v>302731.61962000001</v>
          </cell>
          <cell r="R163">
            <v>283734.96695999993</v>
          </cell>
          <cell r="S163">
            <v>451167.46505815972</v>
          </cell>
          <cell r="T163">
            <v>1878865.5951681596</v>
          </cell>
          <cell r="Y163" t="str">
            <v>Ago</v>
          </cell>
          <cell r="Z163">
            <v>-1759424.5069899999</v>
          </cell>
          <cell r="AA163">
            <v>1878865.5951681596</v>
          </cell>
          <cell r="AB163">
            <v>159200</v>
          </cell>
          <cell r="AD163">
            <v>278641.08817815967</v>
          </cell>
        </row>
        <row r="164">
          <cell r="C164" t="str">
            <v>Sep</v>
          </cell>
          <cell r="D164">
            <v>369174.51280999999</v>
          </cell>
          <cell r="E164">
            <v>635056.30450999993</v>
          </cell>
          <cell r="F164">
            <v>923800.70248999994</v>
          </cell>
          <cell r="G164">
            <v>635592.29416999989</v>
          </cell>
          <cell r="I164">
            <v>2563623.8139800001</v>
          </cell>
          <cell r="O164" t="str">
            <v>Sep</v>
          </cell>
          <cell r="P164">
            <v>822934.76798999996</v>
          </cell>
          <cell r="Q164">
            <v>339581.68612999999</v>
          </cell>
          <cell r="R164">
            <v>332468.57460999995</v>
          </cell>
          <cell r="S164">
            <v>471584.65475333139</v>
          </cell>
          <cell r="T164">
            <v>1966569.6834833312</v>
          </cell>
          <cell r="Y164" t="str">
            <v>Sep</v>
          </cell>
          <cell r="Z164">
            <v>-1876201.7975699999</v>
          </cell>
          <cell r="AA164">
            <v>1966569.6834833312</v>
          </cell>
          <cell r="AB164">
            <v>231900</v>
          </cell>
          <cell r="AD164">
            <v>322267.88591333129</v>
          </cell>
        </row>
        <row r="165">
          <cell r="C165" t="str">
            <v>Oct</v>
          </cell>
          <cell r="D165">
            <v>396405.78476000001</v>
          </cell>
          <cell r="E165">
            <v>689052.28295999998</v>
          </cell>
          <cell r="F165">
            <v>1029328.5938899999</v>
          </cell>
          <cell r="G165">
            <v>721427.70717999991</v>
          </cell>
          <cell r="I165">
            <v>2836214.3687900002</v>
          </cell>
          <cell r="O165" t="str">
            <v>Oct</v>
          </cell>
          <cell r="P165">
            <v>910373.71872999996</v>
          </cell>
          <cell r="Q165">
            <v>364977.44864999998</v>
          </cell>
          <cell r="R165">
            <v>453439.88086999994</v>
          </cell>
          <cell r="S165">
            <v>459340.82303982729</v>
          </cell>
          <cell r="T165">
            <v>2188131.8712898269</v>
          </cell>
          <cell r="Y165" t="str">
            <v>Oct</v>
          </cell>
          <cell r="Z165">
            <v>-2067058.2742299999</v>
          </cell>
          <cell r="AA165">
            <v>2188131.8712898269</v>
          </cell>
          <cell r="AB165">
            <v>228817.89102000001</v>
          </cell>
          <cell r="AD165">
            <v>349891.48807982705</v>
          </cell>
        </row>
        <row r="166">
          <cell r="C166" t="str">
            <v>Nov</v>
          </cell>
          <cell r="D166">
            <v>420408.65146000002</v>
          </cell>
          <cell r="E166">
            <v>735512.78822999995</v>
          </cell>
          <cell r="F166">
            <v>1160277.3653899999</v>
          </cell>
          <cell r="G166">
            <v>817818.63634999993</v>
          </cell>
          <cell r="I166">
            <v>3134017.4414300001</v>
          </cell>
          <cell r="O166" t="str">
            <v>Nov</v>
          </cell>
          <cell r="P166">
            <v>918372.42929999996</v>
          </cell>
          <cell r="Q166">
            <v>416407.33083999995</v>
          </cell>
          <cell r="R166">
            <v>516084.04277999996</v>
          </cell>
          <cell r="S166">
            <v>583507.46398812544</v>
          </cell>
          <cell r="T166">
            <v>2434371.266908125</v>
          </cell>
          <cell r="Y166" t="str">
            <v>Nov</v>
          </cell>
          <cell r="Z166">
            <v>-2342023.8551399997</v>
          </cell>
          <cell r="AA166">
            <v>2434371.266908125</v>
          </cell>
          <cell r="AB166">
            <v>184481.10756</v>
          </cell>
          <cell r="AD166">
            <v>276828.5193281254</v>
          </cell>
        </row>
        <row r="167">
          <cell r="C167" t="str">
            <v>Dic</v>
          </cell>
          <cell r="D167">
            <v>443042.26229000004</v>
          </cell>
          <cell r="E167">
            <v>787135.75596999994</v>
          </cell>
          <cell r="F167">
            <v>1263835.8688599998</v>
          </cell>
          <cell r="G167">
            <v>865745.32414999988</v>
          </cell>
          <cell r="I167">
            <v>3359759.2112700003</v>
          </cell>
          <cell r="O167" t="str">
            <v>Dic</v>
          </cell>
          <cell r="P167">
            <v>947511.96886999998</v>
          </cell>
          <cell r="Q167">
            <v>472532.97557999997</v>
          </cell>
          <cell r="R167">
            <v>649499.18134999997</v>
          </cell>
          <cell r="S167">
            <v>622775.2242601082</v>
          </cell>
          <cell r="T167">
            <v>2692319.3500601077</v>
          </cell>
          <cell r="Y167" t="str">
            <v>Dic</v>
          </cell>
          <cell r="Z167">
            <v>-2373246.4087599996</v>
          </cell>
          <cell r="AA167">
            <v>2692319.3500601077</v>
          </cell>
          <cell r="AB167">
            <v>2948.3526000000129</v>
          </cell>
          <cell r="AD167">
            <v>322021.29390010808</v>
          </cell>
        </row>
        <row r="168">
          <cell r="B168">
            <v>1996</v>
          </cell>
          <cell r="C168" t="str">
            <v>Ene</v>
          </cell>
          <cell r="D168">
            <v>22899.513849999999</v>
          </cell>
          <cell r="E168">
            <v>49575.174469999998</v>
          </cell>
          <cell r="F168">
            <v>112768.81318</v>
          </cell>
          <cell r="G168">
            <v>15695.37383</v>
          </cell>
          <cell r="I168">
            <v>200938.87533000001</v>
          </cell>
          <cell r="N168">
            <v>1996</v>
          </cell>
          <cell r="O168" t="str">
            <v>Ene</v>
          </cell>
          <cell r="P168">
            <v>-40330.620990000003</v>
          </cell>
          <cell r="Q168">
            <v>50185.876210000002</v>
          </cell>
          <cell r="R168">
            <v>20364.71285</v>
          </cell>
          <cell r="S168">
            <v>71124.668130000005</v>
          </cell>
          <cell r="T168">
            <v>101344.63619999999</v>
          </cell>
          <cell r="X168">
            <v>1996</v>
          </cell>
          <cell r="Y168" t="str">
            <v>Ene</v>
          </cell>
          <cell r="Z168">
            <v>-238568.97372000001</v>
          </cell>
          <cell r="AA168">
            <v>101344.63619999999</v>
          </cell>
          <cell r="AB168">
            <v>-23876.388029999998</v>
          </cell>
          <cell r="AD168">
            <v>-161100.72555</v>
          </cell>
        </row>
        <row r="169">
          <cell r="C169" t="str">
            <v>Feb</v>
          </cell>
          <cell r="D169">
            <v>50477.054830000001</v>
          </cell>
          <cell r="E169">
            <v>96040.2696</v>
          </cell>
          <cell r="F169">
            <v>218882.71103999999</v>
          </cell>
          <cell r="G169">
            <v>59742.364780000004</v>
          </cell>
          <cell r="I169">
            <v>425142.40025000001</v>
          </cell>
          <cell r="O169" t="str">
            <v>Feb</v>
          </cell>
          <cell r="P169">
            <v>-106568.61629000001</v>
          </cell>
          <cell r="Q169">
            <v>136916.23489999998</v>
          </cell>
          <cell r="R169">
            <v>29893.305529999998</v>
          </cell>
          <cell r="S169">
            <v>234963.11018000002</v>
          </cell>
          <cell r="T169">
            <v>295204.03431999998</v>
          </cell>
          <cell r="Y169" t="str">
            <v>Feb</v>
          </cell>
          <cell r="Z169">
            <v>-564940.78875000007</v>
          </cell>
          <cell r="AA169">
            <v>295204.03431999998</v>
          </cell>
          <cell r="AB169">
            <v>-43783.062789999996</v>
          </cell>
          <cell r="AD169">
            <v>-313519.81722000008</v>
          </cell>
        </row>
        <row r="170">
          <cell r="C170" t="str">
            <v>Mar</v>
          </cell>
          <cell r="D170">
            <v>76830.118920000008</v>
          </cell>
          <cell r="E170">
            <v>143334.21244</v>
          </cell>
          <cell r="F170">
            <v>333647.30683999998</v>
          </cell>
          <cell r="G170">
            <v>77046.309689999995</v>
          </cell>
          <cell r="I170">
            <v>630857.94788999995</v>
          </cell>
          <cell r="O170" t="str">
            <v>Mar</v>
          </cell>
          <cell r="P170">
            <v>-174252.53962</v>
          </cell>
          <cell r="Q170">
            <v>267069.08045000001</v>
          </cell>
          <cell r="R170">
            <v>127655.32248</v>
          </cell>
          <cell r="S170">
            <v>331094.37242999999</v>
          </cell>
          <cell r="T170">
            <v>551566.23573999992</v>
          </cell>
          <cell r="Y170" t="str">
            <v>Mar</v>
          </cell>
          <cell r="Z170">
            <v>-894497.85767000006</v>
          </cell>
          <cell r="AA170">
            <v>551566.23573999992</v>
          </cell>
          <cell r="AB170">
            <v>-55474.460379999997</v>
          </cell>
          <cell r="AD170">
            <v>-398406.08231000014</v>
          </cell>
        </row>
        <row r="171">
          <cell r="C171" t="str">
            <v>Abr</v>
          </cell>
          <cell r="D171">
            <v>100104.75218000001</v>
          </cell>
          <cell r="E171">
            <v>191010.4829</v>
          </cell>
          <cell r="F171">
            <v>441142.27687999996</v>
          </cell>
          <cell r="G171">
            <v>150550.70043999999</v>
          </cell>
          <cell r="I171">
            <v>882808.21239999996</v>
          </cell>
          <cell r="O171" t="str">
            <v>Abr</v>
          </cell>
          <cell r="P171">
            <v>-93395.746759999995</v>
          </cell>
          <cell r="Q171">
            <v>301033.54220999999</v>
          </cell>
          <cell r="R171">
            <v>197711.23788999999</v>
          </cell>
          <cell r="S171">
            <v>412055.34944000002</v>
          </cell>
          <cell r="T171">
            <v>817404.38277999987</v>
          </cell>
          <cell r="Y171" t="str">
            <v>Abr</v>
          </cell>
          <cell r="Z171">
            <v>-1128575.5329800001</v>
          </cell>
          <cell r="AA171">
            <v>817404.38277999987</v>
          </cell>
          <cell r="AB171">
            <v>-112112.46716999999</v>
          </cell>
          <cell r="AD171">
            <v>-423283.61737000023</v>
          </cell>
        </row>
        <row r="172">
          <cell r="C172" t="str">
            <v>May</v>
          </cell>
          <cell r="D172">
            <v>129826.04419000002</v>
          </cell>
          <cell r="E172">
            <v>242167.39316000001</v>
          </cell>
          <cell r="F172">
            <v>622359.29986999999</v>
          </cell>
          <cell r="G172">
            <v>212422.00975999999</v>
          </cell>
          <cell r="I172">
            <v>1206774.7469799998</v>
          </cell>
          <cell r="O172" t="str">
            <v>May</v>
          </cell>
          <cell r="P172">
            <v>-68238.135939999993</v>
          </cell>
          <cell r="Q172">
            <v>448320.66957999999</v>
          </cell>
          <cell r="R172">
            <v>250821.74296</v>
          </cell>
          <cell r="S172">
            <v>387976.19415</v>
          </cell>
          <cell r="T172">
            <v>1018880.4707499999</v>
          </cell>
          <cell r="Y172" t="str">
            <v>May</v>
          </cell>
          <cell r="Z172">
            <v>-1281138.6704500001</v>
          </cell>
          <cell r="AA172">
            <v>1018880.4707499999</v>
          </cell>
          <cell r="AB172">
            <v>-138970.18466</v>
          </cell>
          <cell r="AD172">
            <v>-401228.38436000026</v>
          </cell>
        </row>
        <row r="173">
          <cell r="C173" t="str">
            <v>Jun</v>
          </cell>
          <cell r="D173">
            <v>150818.82788000003</v>
          </cell>
          <cell r="E173">
            <v>285011.87341</v>
          </cell>
          <cell r="F173">
            <v>774330.19458999997</v>
          </cell>
          <cell r="G173">
            <v>243071.28246999998</v>
          </cell>
          <cell r="I173">
            <v>1453232.1783499997</v>
          </cell>
          <cell r="O173" t="str">
            <v>Jun</v>
          </cell>
          <cell r="P173">
            <v>59948.661500000002</v>
          </cell>
          <cell r="Q173">
            <v>488662.70632</v>
          </cell>
          <cell r="R173">
            <v>435097.04193000001</v>
          </cell>
          <cell r="S173">
            <v>427636.18148999999</v>
          </cell>
          <cell r="T173">
            <v>1411344.59124</v>
          </cell>
          <cell r="Y173" t="str">
            <v>Jun</v>
          </cell>
          <cell r="Z173">
            <v>-1670497.3704000001</v>
          </cell>
          <cell r="AA173">
            <v>1411344.59124</v>
          </cell>
          <cell r="AB173">
            <v>-104098.84787</v>
          </cell>
          <cell r="AD173">
            <v>-363251.62703000015</v>
          </cell>
        </row>
        <row r="174">
          <cell r="C174" t="str">
            <v>Jul</v>
          </cell>
          <cell r="D174">
            <v>171049.06830000001</v>
          </cell>
          <cell r="E174">
            <v>337608.65161</v>
          </cell>
          <cell r="F174">
            <v>957200.86755999993</v>
          </cell>
          <cell r="G174">
            <v>301801.01869</v>
          </cell>
          <cell r="I174">
            <v>1767659.6061599997</v>
          </cell>
          <cell r="O174" t="str">
            <v>Jul</v>
          </cell>
          <cell r="P174">
            <v>189069.00537999999</v>
          </cell>
          <cell r="Q174">
            <v>547798.07770999998</v>
          </cell>
          <cell r="R174">
            <v>465144.65451000002</v>
          </cell>
          <cell r="S174">
            <v>596375.56767000002</v>
          </cell>
          <cell r="T174">
            <v>1798387.3052699999</v>
          </cell>
          <cell r="Y174" t="str">
            <v>Jul</v>
          </cell>
          <cell r="Z174">
            <v>-2070208.65919</v>
          </cell>
          <cell r="AA174">
            <v>1798387.3052699999</v>
          </cell>
          <cell r="AB174">
            <v>-19319.070699999997</v>
          </cell>
          <cell r="AD174">
            <v>-291140.42462000012</v>
          </cell>
        </row>
        <row r="175">
          <cell r="C175" t="str">
            <v>Ago</v>
          </cell>
          <cell r="D175">
            <v>189037.11863000001</v>
          </cell>
          <cell r="E175">
            <v>395585.16395999998</v>
          </cell>
          <cell r="F175">
            <v>1121855.81905</v>
          </cell>
          <cell r="G175">
            <v>355754.13841999997</v>
          </cell>
          <cell r="I175">
            <v>2062232.2400599997</v>
          </cell>
          <cell r="O175" t="str">
            <v>Ago</v>
          </cell>
          <cell r="P175">
            <v>250216.39565999998</v>
          </cell>
          <cell r="Q175">
            <v>1025587.9355299999</v>
          </cell>
          <cell r="R175">
            <v>482552.52761000005</v>
          </cell>
          <cell r="S175">
            <v>490217.34367000003</v>
          </cell>
          <cell r="T175">
            <v>2248574.2024699999</v>
          </cell>
          <cell r="Y175" t="str">
            <v>Ago</v>
          </cell>
          <cell r="Z175">
            <v>-2481940.9920299998</v>
          </cell>
          <cell r="AA175">
            <v>2248574.2024699999</v>
          </cell>
          <cell r="AB175">
            <v>-32907.500139999996</v>
          </cell>
          <cell r="AD175">
            <v>-266274.28969999996</v>
          </cell>
        </row>
        <row r="176">
          <cell r="C176" t="str">
            <v>Sep</v>
          </cell>
          <cell r="D176">
            <v>205551.24368000001</v>
          </cell>
          <cell r="E176">
            <v>443235.91015999997</v>
          </cell>
          <cell r="F176">
            <v>1259257.24605</v>
          </cell>
          <cell r="G176">
            <v>406327.64154999994</v>
          </cell>
          <cell r="I176">
            <v>2314372.0414399998</v>
          </cell>
          <cell r="O176" t="str">
            <v>Sep</v>
          </cell>
          <cell r="P176">
            <v>429438.20572999999</v>
          </cell>
          <cell r="Q176">
            <v>1068628.1437499998</v>
          </cell>
          <cell r="R176">
            <v>562207.31557000009</v>
          </cell>
          <cell r="S176">
            <v>666474.10122000007</v>
          </cell>
          <cell r="T176">
            <v>2726747.76627</v>
          </cell>
          <cell r="Y176" t="str">
            <v>Sep</v>
          </cell>
          <cell r="Z176">
            <v>-2912992.32155</v>
          </cell>
          <cell r="AA176">
            <v>2726747.76627</v>
          </cell>
          <cell r="AB176">
            <v>-43973.171959999992</v>
          </cell>
          <cell r="AD176">
            <v>-230217.72723999998</v>
          </cell>
        </row>
        <row r="177">
          <cell r="C177" t="str">
            <v>Oct</v>
          </cell>
          <cell r="D177">
            <v>219654.24647000001</v>
          </cell>
          <cell r="E177">
            <v>496628.17475999997</v>
          </cell>
          <cell r="F177">
            <v>1459963.68356</v>
          </cell>
          <cell r="G177">
            <v>482441.96676999994</v>
          </cell>
          <cell r="I177">
            <v>2658688.0715600001</v>
          </cell>
          <cell r="O177" t="str">
            <v>Oct</v>
          </cell>
          <cell r="P177">
            <v>699064.39471999998</v>
          </cell>
          <cell r="Q177">
            <v>1167707.6582599997</v>
          </cell>
          <cell r="R177">
            <v>641930.95072000008</v>
          </cell>
          <cell r="S177">
            <v>778686.63878000004</v>
          </cell>
          <cell r="T177">
            <v>3287389.6424799999</v>
          </cell>
          <cell r="Y177" t="str">
            <v>Oct</v>
          </cell>
          <cell r="Z177">
            <v>-3363859.5133699998</v>
          </cell>
          <cell r="AA177">
            <v>3287389.6424799999</v>
          </cell>
          <cell r="AB177">
            <v>-9241.932489999992</v>
          </cell>
          <cell r="AD177">
            <v>-85711.803379999896</v>
          </cell>
        </row>
        <row r="178">
          <cell r="C178" t="str">
            <v>Nov</v>
          </cell>
          <cell r="D178">
            <v>233545.36512</v>
          </cell>
          <cell r="E178">
            <v>578135.14705999999</v>
          </cell>
          <cell r="F178">
            <v>1608628.7973500001</v>
          </cell>
          <cell r="G178">
            <v>534038.86857999989</v>
          </cell>
          <cell r="I178">
            <v>2954348.1781100002</v>
          </cell>
          <cell r="O178" t="str">
            <v>Nov</v>
          </cell>
          <cell r="P178">
            <v>893809.98783999996</v>
          </cell>
          <cell r="Q178">
            <v>1311939.8990799997</v>
          </cell>
          <cell r="R178">
            <v>642668.87895000004</v>
          </cell>
          <cell r="S178">
            <v>807184.76399000001</v>
          </cell>
          <cell r="T178">
            <v>3655603.5298600001</v>
          </cell>
          <cell r="Y178" t="str">
            <v>Nov</v>
          </cell>
          <cell r="Z178">
            <v>-3612282.6165099996</v>
          </cell>
          <cell r="AA178">
            <v>3655603.5298600001</v>
          </cell>
          <cell r="AB178">
            <v>10182.019270000008</v>
          </cell>
          <cell r="AD178">
            <v>53502.932620000516</v>
          </cell>
        </row>
        <row r="179">
          <cell r="C179" t="str">
            <v>Dic</v>
          </cell>
          <cell r="D179">
            <v>253806.27334000001</v>
          </cell>
          <cell r="E179">
            <v>640569.84491999994</v>
          </cell>
          <cell r="F179">
            <v>1739824.5096100001</v>
          </cell>
          <cell r="G179">
            <v>585241.19255999988</v>
          </cell>
          <cell r="I179">
            <v>3219441.8204300003</v>
          </cell>
          <cell r="O179" t="str">
            <v>Dic</v>
          </cell>
          <cell r="P179">
            <v>1995421.3680699999</v>
          </cell>
          <cell r="Q179">
            <v>1653160.5016299996</v>
          </cell>
          <cell r="R179">
            <v>904608.8340400001</v>
          </cell>
          <cell r="S179">
            <v>1018032.5725700001</v>
          </cell>
          <cell r="T179">
            <v>5571223.2763100006</v>
          </cell>
          <cell r="Y179" t="str">
            <v>Dic</v>
          </cell>
          <cell r="Z179">
            <v>-3989461.6900199996</v>
          </cell>
          <cell r="AA179">
            <v>5571223.2763100006</v>
          </cell>
          <cell r="AB179">
            <v>-9606.4302199999911</v>
          </cell>
          <cell r="AD179">
            <v>1572155.156070001</v>
          </cell>
        </row>
        <row r="180">
          <cell r="B180" t="str">
            <v>1997 (p)</v>
          </cell>
          <cell r="C180" t="str">
            <v>Ene</v>
          </cell>
          <cell r="D180">
            <v>21458.873970000001</v>
          </cell>
          <cell r="E180">
            <v>53235.418460000001</v>
          </cell>
          <cell r="F180">
            <v>179265.639</v>
          </cell>
          <cell r="G180">
            <v>26111.2084</v>
          </cell>
          <cell r="I180">
            <v>280071.13983</v>
          </cell>
          <cell r="N180" t="str">
            <v>1997 (p)</v>
          </cell>
          <cell r="O180" t="str">
            <v>Ene</v>
          </cell>
          <cell r="P180">
            <v>192010.09516</v>
          </cell>
          <cell r="Q180">
            <v>49727.278480000001</v>
          </cell>
          <cell r="R180">
            <v>-2176.2264599999999</v>
          </cell>
          <cell r="S180">
            <v>159832.60722999999</v>
          </cell>
          <cell r="T180">
            <v>399393.75440999999</v>
          </cell>
          <cell r="X180" t="str">
            <v>1997 (p)</v>
          </cell>
          <cell r="Y180" t="str">
            <v>Ene</v>
          </cell>
          <cell r="Z180">
            <v>-374670.18338</v>
          </cell>
          <cell r="AA180">
            <v>399393.75440999999</v>
          </cell>
          <cell r="AB180">
            <v>-86604.702720000001</v>
          </cell>
          <cell r="AD180">
            <v>-61881.131690000009</v>
          </cell>
        </row>
        <row r="181">
          <cell r="C181" t="str">
            <v>Feb</v>
          </cell>
          <cell r="D181">
            <v>49990.435599999997</v>
          </cell>
          <cell r="E181">
            <v>106665.57980000001</v>
          </cell>
          <cell r="F181">
            <v>346977.34603000002</v>
          </cell>
          <cell r="G181">
            <v>83846.347380000007</v>
          </cell>
          <cell r="I181">
            <v>587479.70880999998</v>
          </cell>
          <cell r="O181" t="str">
            <v>Feb</v>
          </cell>
          <cell r="P181">
            <v>264518.14072000002</v>
          </cell>
          <cell r="Q181">
            <v>199209.95922000002</v>
          </cell>
          <cell r="R181">
            <v>58494.852170000006</v>
          </cell>
          <cell r="S181">
            <v>374017.31685</v>
          </cell>
          <cell r="T181">
            <v>896240.26896000002</v>
          </cell>
          <cell r="Y181" t="str">
            <v>Feb</v>
          </cell>
          <cell r="Z181">
            <v>-870141.08658</v>
          </cell>
          <cell r="AA181">
            <v>896240.26896000002</v>
          </cell>
          <cell r="AB181">
            <v>-106392.29055000001</v>
          </cell>
          <cell r="AD181">
            <v>-80293.108169999992</v>
          </cell>
        </row>
        <row r="182">
          <cell r="C182" t="str">
            <v>Mar</v>
          </cell>
          <cell r="D182">
            <v>76386.323409999997</v>
          </cell>
          <cell r="E182">
            <v>155599.06575000001</v>
          </cell>
          <cell r="F182">
            <v>516251.68075000006</v>
          </cell>
          <cell r="G182">
            <v>125503.31884000001</v>
          </cell>
          <cell r="I182">
            <v>873740.38874999993</v>
          </cell>
          <cell r="O182" t="str">
            <v>Mar</v>
          </cell>
          <cell r="P182">
            <v>410036.34215000004</v>
          </cell>
          <cell r="Q182">
            <v>314491.98936000001</v>
          </cell>
          <cell r="R182">
            <v>100571.58579000001</v>
          </cell>
          <cell r="S182">
            <v>579591.14642999996</v>
          </cell>
          <cell r="T182">
            <v>1404691.0637300001</v>
          </cell>
          <cell r="Y182" t="str">
            <v>Mar</v>
          </cell>
          <cell r="Z182">
            <v>-1251024.3294299999</v>
          </cell>
          <cell r="AA182">
            <v>1404691.0637300001</v>
          </cell>
          <cell r="AB182">
            <v>-110539.99701000001</v>
          </cell>
          <cell r="AD182">
            <v>43126.737290000121</v>
          </cell>
        </row>
        <row r="183">
          <cell r="C183" t="str">
            <v>Abr</v>
          </cell>
          <cell r="D183">
            <v>100230.81586</v>
          </cell>
          <cell r="E183">
            <v>212025.01800000001</v>
          </cell>
          <cell r="F183">
            <v>727633.0684300001</v>
          </cell>
          <cell r="G183">
            <v>176719.06095000001</v>
          </cell>
          <cell r="I183">
            <v>1216607.96324</v>
          </cell>
          <cell r="O183" t="str">
            <v>Abr</v>
          </cell>
          <cell r="P183">
            <v>625042.68231000006</v>
          </cell>
          <cell r="Q183">
            <v>445439.98560999997</v>
          </cell>
          <cell r="R183">
            <v>146285.97908000002</v>
          </cell>
          <cell r="S183">
            <v>678847.50430999999</v>
          </cell>
          <cell r="T183">
            <v>1895616.1513100001</v>
          </cell>
          <cell r="Y183" t="str">
            <v>Abr</v>
          </cell>
          <cell r="Z183">
            <v>-1673575.6427799999</v>
          </cell>
          <cell r="AA183">
            <v>1895616.1513100001</v>
          </cell>
          <cell r="AB183">
            <v>-123153.65503000001</v>
          </cell>
          <cell r="AD183">
            <v>98886.853500000216</v>
          </cell>
        </row>
        <row r="184">
          <cell r="C184" t="str">
            <v>May</v>
          </cell>
          <cell r="D184">
            <v>123695.43988000001</v>
          </cell>
          <cell r="E184">
            <v>256490.21923000002</v>
          </cell>
          <cell r="F184">
            <v>891843.61048000003</v>
          </cell>
          <cell r="G184">
            <v>240877.57551000002</v>
          </cell>
          <cell r="I184">
            <v>1512906.8451</v>
          </cell>
          <cell r="O184" t="str">
            <v>May</v>
          </cell>
          <cell r="P184">
            <v>864227.23750000005</v>
          </cell>
          <cell r="Q184">
            <v>562679.59771</v>
          </cell>
          <cell r="R184">
            <v>141296.92512000003</v>
          </cell>
          <cell r="S184">
            <v>656291.38462999999</v>
          </cell>
          <cell r="T184">
            <v>2224495.1449600002</v>
          </cell>
          <cell r="Y184" t="str">
            <v>May</v>
          </cell>
          <cell r="Z184">
            <v>-1881103.7799499999</v>
          </cell>
          <cell r="AA184">
            <v>2224495.1449600002</v>
          </cell>
          <cell r="AB184">
            <v>-19918.772410000005</v>
          </cell>
          <cell r="AD184">
            <v>323472.59260000032</v>
          </cell>
        </row>
        <row r="185">
          <cell r="C185" t="str">
            <v>Jun</v>
          </cell>
          <cell r="D185">
            <v>142361.54466000001</v>
          </cell>
          <cell r="E185">
            <v>299412.39669000002</v>
          </cell>
          <cell r="F185">
            <v>1025614.31053</v>
          </cell>
          <cell r="G185">
            <v>330428.58091000002</v>
          </cell>
          <cell r="I185">
            <v>1797816.8327899999</v>
          </cell>
          <cell r="O185" t="str">
            <v>Jun</v>
          </cell>
          <cell r="P185">
            <v>991628.49959000002</v>
          </cell>
          <cell r="Q185">
            <v>599898.67344000004</v>
          </cell>
          <cell r="R185">
            <v>239799.85112000004</v>
          </cell>
          <cell r="S185">
            <v>729020.67353000003</v>
          </cell>
          <cell r="T185">
            <v>2560347.6976800002</v>
          </cell>
          <cell r="Y185" t="str">
            <v>Jun</v>
          </cell>
          <cell r="Z185">
            <v>-2149607.7091600001</v>
          </cell>
          <cell r="AA185">
            <v>2560347.6976800002</v>
          </cell>
          <cell r="AB185">
            <v>-36208.777660000007</v>
          </cell>
          <cell r="AD185">
            <v>374531.21086000011</v>
          </cell>
        </row>
        <row r="186">
          <cell r="C186" t="str">
            <v>Jul</v>
          </cell>
          <cell r="D186">
            <v>158871.42758000002</v>
          </cell>
          <cell r="E186">
            <v>351011.59308000002</v>
          </cell>
          <cell r="F186">
            <v>1175111.27217</v>
          </cell>
          <cell r="G186">
            <v>403633.15659000003</v>
          </cell>
          <cell r="I186">
            <v>2088627.44942</v>
          </cell>
          <cell r="O186" t="str">
            <v>Jul</v>
          </cell>
          <cell r="P186">
            <v>1102095.2902500001</v>
          </cell>
          <cell r="Q186">
            <v>853744.02324000001</v>
          </cell>
          <cell r="R186">
            <v>291025.34457000002</v>
          </cell>
          <cell r="S186">
            <v>634764.20452999999</v>
          </cell>
          <cell r="T186">
            <v>2881628.86259</v>
          </cell>
          <cell r="Y186" t="str">
            <v>Jul</v>
          </cell>
          <cell r="Z186">
            <v>-2413675.2331099999</v>
          </cell>
          <cell r="AA186">
            <v>2881628.86259</v>
          </cell>
          <cell r="AB186">
            <v>-84990.385540000017</v>
          </cell>
          <cell r="AD186">
            <v>382963.24394000007</v>
          </cell>
        </row>
        <row r="187">
          <cell r="C187" t="str">
            <v>Ago</v>
          </cell>
          <cell r="D187">
            <v>171354.65592000002</v>
          </cell>
          <cell r="E187">
            <v>390503.00804000004</v>
          </cell>
          <cell r="F187">
            <v>1318683.50364</v>
          </cell>
          <cell r="G187">
            <v>485206.00783000002</v>
          </cell>
          <cell r="I187">
            <v>2365747.1754299998</v>
          </cell>
          <cell r="O187" t="str">
            <v>Ago</v>
          </cell>
          <cell r="P187">
            <v>1139821.8823600002</v>
          </cell>
          <cell r="Q187">
            <v>926060.87471999996</v>
          </cell>
          <cell r="R187">
            <v>370040.74883</v>
          </cell>
          <cell r="S187">
            <v>786876.55744999996</v>
          </cell>
          <cell r="T187">
            <v>3222800.06336</v>
          </cell>
          <cell r="Y187" t="str">
            <v>Ago</v>
          </cell>
          <cell r="Z187">
            <v>-2774178.31036</v>
          </cell>
          <cell r="AA187">
            <v>3222800.06336</v>
          </cell>
          <cell r="AB187">
            <v>-64292.784430000014</v>
          </cell>
          <cell r="AD187">
            <v>384328.96857000003</v>
          </cell>
        </row>
        <row r="188">
          <cell r="C188" t="str">
            <v>Sep</v>
          </cell>
          <cell r="D188">
            <v>187689.33712000001</v>
          </cell>
          <cell r="E188">
            <v>443247.69712000003</v>
          </cell>
          <cell r="F188">
            <v>1475822.30742</v>
          </cell>
          <cell r="G188">
            <v>554046.20296000002</v>
          </cell>
          <cell r="I188">
            <v>2660805.5446199998</v>
          </cell>
          <cell r="O188" t="str">
            <v>Sep</v>
          </cell>
          <cell r="P188">
            <v>1044821.2411300002</v>
          </cell>
          <cell r="Q188">
            <v>1148432.0716800001</v>
          </cell>
          <cell r="R188">
            <v>413952.59125</v>
          </cell>
          <cell r="S188">
            <v>878845.45863999997</v>
          </cell>
          <cell r="T188">
            <v>3486051.3626999999</v>
          </cell>
          <cell r="Y188" t="str">
            <v>Sep</v>
          </cell>
          <cell r="Z188">
            <v>-3164871.8856699998</v>
          </cell>
          <cell r="AA188">
            <v>3486051.3626999999</v>
          </cell>
          <cell r="AB188">
            <v>10951.139559999981</v>
          </cell>
          <cell r="AD188">
            <v>332130.61659000017</v>
          </cell>
        </row>
        <row r="189">
          <cell r="C189" t="str">
            <v>Oct</v>
          </cell>
          <cell r="D189">
            <v>199301.70037000001</v>
          </cell>
          <cell r="E189">
            <v>494568.37804000004</v>
          </cell>
          <cell r="F189">
            <v>1639731.85033</v>
          </cell>
          <cell r="G189">
            <v>690001.92186999996</v>
          </cell>
          <cell r="I189">
            <v>3023603.8506100001</v>
          </cell>
          <cell r="O189" t="str">
            <v>Oct</v>
          </cell>
          <cell r="P189">
            <v>1069522.0285700003</v>
          </cell>
          <cell r="Q189">
            <v>1287548.0581400001</v>
          </cell>
          <cell r="R189">
            <v>443908.75660999998</v>
          </cell>
          <cell r="S189">
            <v>997887.31663999998</v>
          </cell>
          <cell r="T189">
            <v>3798866.1599599998</v>
          </cell>
          <cell r="Y189" t="str">
            <v>Oct</v>
          </cell>
          <cell r="Z189">
            <v>-3633252.0492999996</v>
          </cell>
          <cell r="AA189">
            <v>3798866.1599599998</v>
          </cell>
          <cell r="AB189">
            <v>95462.169219999982</v>
          </cell>
          <cell r="AD189">
            <v>261076.27988000022</v>
          </cell>
        </row>
        <row r="190">
          <cell r="C190" t="str">
            <v>Nov</v>
          </cell>
          <cell r="D190">
            <v>208198.81092000002</v>
          </cell>
          <cell r="E190">
            <v>559076.38533000008</v>
          </cell>
          <cell r="F190">
            <v>1768245.15338</v>
          </cell>
          <cell r="G190">
            <v>767229.21057999996</v>
          </cell>
          <cell r="I190">
            <v>3302749.5602100003</v>
          </cell>
          <cell r="O190" t="str">
            <v>Nov</v>
          </cell>
          <cell r="P190">
            <v>1323783.1067000004</v>
          </cell>
          <cell r="Q190">
            <v>1368255.0678600001</v>
          </cell>
          <cell r="R190">
            <v>458779.46885999996</v>
          </cell>
          <cell r="S190">
            <v>941780.43950999994</v>
          </cell>
          <cell r="T190">
            <v>4092598.08293</v>
          </cell>
          <cell r="Y190" t="str">
            <v>Nov</v>
          </cell>
          <cell r="Z190">
            <v>-4006137.2416499997</v>
          </cell>
          <cell r="AA190">
            <v>4092598.08293</v>
          </cell>
          <cell r="AB190">
            <v>2807.0038699999859</v>
          </cell>
          <cell r="AD190">
            <v>89267.84515000027</v>
          </cell>
        </row>
        <row r="191">
          <cell r="C191" t="str">
            <v>Dic*</v>
          </cell>
          <cell r="D191">
            <v>218331.27782000002</v>
          </cell>
          <cell r="E191">
            <v>605667.1873300001</v>
          </cell>
          <cell r="F191">
            <v>1939515.6369</v>
          </cell>
          <cell r="G191">
            <v>848855.76094999991</v>
          </cell>
          <cell r="I191">
            <v>3612369.8630000004</v>
          </cell>
          <cell r="O191" t="str">
            <v>Dic*</v>
          </cell>
          <cell r="P191">
            <v>1649391.1537300004</v>
          </cell>
          <cell r="Q191">
            <v>1472688.22083</v>
          </cell>
          <cell r="R191">
            <v>313145.07629</v>
          </cell>
          <cell r="S191">
            <v>1281444.6990799999</v>
          </cell>
          <cell r="T191">
            <v>4716669.1499300003</v>
          </cell>
          <cell r="Y191" t="str">
            <v>Dic*</v>
          </cell>
          <cell r="Z191">
            <v>-4710923.4390799999</v>
          </cell>
          <cell r="AA191">
            <v>4716669.1499300003</v>
          </cell>
          <cell r="AB191">
            <v>-21036.958130000014</v>
          </cell>
          <cell r="AD191">
            <v>-15291.247279999632</v>
          </cell>
        </row>
        <row r="192">
          <cell r="B192" t="str">
            <v>1998 (p)</v>
          </cell>
          <cell r="C192" t="str">
            <v>Ene</v>
          </cell>
          <cell r="D192">
            <v>10350.36</v>
          </cell>
          <cell r="E192">
            <v>38654.15</v>
          </cell>
          <cell r="F192">
            <v>141359.57999999999</v>
          </cell>
          <cell r="G192">
            <v>64620.83</v>
          </cell>
          <cell r="I192">
            <v>254984.93</v>
          </cell>
          <cell r="N192" t="str">
            <v>1998 (p)</v>
          </cell>
          <cell r="O192" t="str">
            <v>Ene</v>
          </cell>
          <cell r="P192">
            <v>-31332.01</v>
          </cell>
          <cell r="Q192">
            <v>99502.02</v>
          </cell>
          <cell r="R192">
            <v>20191.490000000002</v>
          </cell>
          <cell r="S192">
            <v>74486.600000000006</v>
          </cell>
          <cell r="T192">
            <v>162848.10999999999</v>
          </cell>
          <cell r="X192" t="str">
            <v>1998 (p)</v>
          </cell>
          <cell r="Y192" t="str">
            <v>Ene</v>
          </cell>
          <cell r="Z192">
            <v>-348426.18</v>
          </cell>
          <cell r="AA192">
            <v>162848.10999999999</v>
          </cell>
          <cell r="AB192">
            <v>51421.14</v>
          </cell>
          <cell r="AD192">
            <v>-134156.93</v>
          </cell>
        </row>
        <row r="193">
          <cell r="C193" t="str">
            <v>Feb</v>
          </cell>
          <cell r="D193">
            <v>21244.04</v>
          </cell>
          <cell r="E193">
            <v>76723.61</v>
          </cell>
          <cell r="F193">
            <v>317102.78000000003</v>
          </cell>
          <cell r="G193">
            <v>149456.01</v>
          </cell>
          <cell r="I193">
            <v>564526.43999999994</v>
          </cell>
          <cell r="O193" t="str">
            <v>Feb</v>
          </cell>
          <cell r="P193">
            <v>-187804.52000000002</v>
          </cell>
          <cell r="Q193">
            <v>76123.06</v>
          </cell>
          <cell r="R193">
            <v>95250.08</v>
          </cell>
          <cell r="S193">
            <v>302900.09999999998</v>
          </cell>
          <cell r="T193">
            <v>286468.73</v>
          </cell>
          <cell r="Y193" t="str">
            <v>Feb</v>
          </cell>
          <cell r="Z193">
            <v>-850751.7</v>
          </cell>
          <cell r="AA193">
            <v>286468.73</v>
          </cell>
          <cell r="AB193">
            <v>46867.25</v>
          </cell>
          <cell r="AD193">
            <v>-517415.72</v>
          </cell>
        </row>
        <row r="194">
          <cell r="C194" t="str">
            <v>Mar</v>
          </cell>
          <cell r="D194">
            <v>34378.949999999997</v>
          </cell>
          <cell r="E194">
            <v>117615.58</v>
          </cell>
          <cell r="F194">
            <v>515313.42000000004</v>
          </cell>
          <cell r="G194">
            <v>202904.96000000002</v>
          </cell>
          <cell r="I194">
            <v>870212.90999999992</v>
          </cell>
          <cell r="O194" t="str">
            <v>Mar</v>
          </cell>
          <cell r="P194">
            <v>-241205.73</v>
          </cell>
          <cell r="Q194">
            <v>382864.25</v>
          </cell>
          <cell r="R194">
            <v>207646.13</v>
          </cell>
          <cell r="S194">
            <v>333711.06999999995</v>
          </cell>
          <cell r="T194">
            <v>683015.72</v>
          </cell>
          <cell r="Y194" t="str">
            <v>Mar</v>
          </cell>
          <cell r="Z194">
            <v>-1214914.22</v>
          </cell>
          <cell r="AA194">
            <v>683015.72</v>
          </cell>
          <cell r="AB194">
            <v>-484.0199999999968</v>
          </cell>
          <cell r="AD194">
            <v>-532382.52</v>
          </cell>
        </row>
        <row r="195">
          <cell r="C195" t="str">
            <v>Abr</v>
          </cell>
          <cell r="D195">
            <v>45691.77</v>
          </cell>
          <cell r="E195">
            <v>138120.21</v>
          </cell>
          <cell r="F195">
            <v>647397.56000000006</v>
          </cell>
          <cell r="G195">
            <v>261410.97000000003</v>
          </cell>
          <cell r="I195">
            <v>1092620.51</v>
          </cell>
          <cell r="O195" t="str">
            <v>Abr</v>
          </cell>
          <cell r="P195">
            <v>-101338.11000000002</v>
          </cell>
          <cell r="Q195">
            <v>384726.55</v>
          </cell>
          <cell r="R195">
            <v>125445.43000000001</v>
          </cell>
          <cell r="S195">
            <v>694481.02</v>
          </cell>
          <cell r="T195">
            <v>1103314.8899999999</v>
          </cell>
          <cell r="Y195" t="str">
            <v>Abr</v>
          </cell>
          <cell r="Z195">
            <v>-1652321.74</v>
          </cell>
          <cell r="AA195">
            <v>1103314.8899999999</v>
          </cell>
          <cell r="AB195">
            <v>45771.350000000006</v>
          </cell>
          <cell r="AD195">
            <v>-503235.50000000012</v>
          </cell>
        </row>
        <row r="196">
          <cell r="C196" t="str">
            <v>May</v>
          </cell>
          <cell r="D196">
            <v>56991.069999999992</v>
          </cell>
          <cell r="E196">
            <v>180965.55</v>
          </cell>
          <cell r="F196">
            <v>793736.15</v>
          </cell>
          <cell r="G196">
            <v>326240.98000000004</v>
          </cell>
          <cell r="I196">
            <v>1357933.75</v>
          </cell>
          <cell r="O196" t="str">
            <v>May</v>
          </cell>
          <cell r="P196">
            <v>-180655.87</v>
          </cell>
          <cell r="Q196">
            <v>501665.25</v>
          </cell>
          <cell r="R196">
            <v>126898.19</v>
          </cell>
          <cell r="S196">
            <v>750528.39</v>
          </cell>
          <cell r="T196">
            <v>1198435.96</v>
          </cell>
          <cell r="Y196" t="str">
            <v>May</v>
          </cell>
          <cell r="Z196">
            <v>-1959059.9</v>
          </cell>
          <cell r="AA196">
            <v>1198435.96</v>
          </cell>
          <cell r="AB196">
            <v>36232.850000000006</v>
          </cell>
          <cell r="AD196">
            <v>-724391.09</v>
          </cell>
        </row>
        <row r="197">
          <cell r="C197" t="str">
            <v>Jun</v>
          </cell>
          <cell r="D197">
            <v>65533.19999999999</v>
          </cell>
          <cell r="E197">
            <v>220281.28999999998</v>
          </cell>
          <cell r="F197">
            <v>1010223.31</v>
          </cell>
          <cell r="G197">
            <v>399572.02</v>
          </cell>
          <cell r="I197">
            <v>1695609.82</v>
          </cell>
          <cell r="O197" t="str">
            <v>Jun</v>
          </cell>
          <cell r="P197">
            <v>64688.100000000006</v>
          </cell>
          <cell r="Q197">
            <v>547418.47</v>
          </cell>
          <cell r="R197">
            <v>225928.15000000002</v>
          </cell>
          <cell r="S197">
            <v>514494.29000000004</v>
          </cell>
          <cell r="T197">
            <v>1352529.01</v>
          </cell>
          <cell r="Y197" t="str">
            <v>Jun</v>
          </cell>
          <cell r="Z197">
            <v>-2223950.16</v>
          </cell>
          <cell r="AA197">
            <v>1352529.01</v>
          </cell>
          <cell r="AB197">
            <v>24589.910000000003</v>
          </cell>
          <cell r="AD197">
            <v>-846831.24000000011</v>
          </cell>
        </row>
        <row r="198">
          <cell r="C198" t="str">
            <v>Jul</v>
          </cell>
          <cell r="D198">
            <v>78838.62999999999</v>
          </cell>
          <cell r="E198">
            <v>265182.84999999998</v>
          </cell>
          <cell r="F198">
            <v>1183246.22</v>
          </cell>
          <cell r="G198">
            <v>473331.44</v>
          </cell>
          <cell r="I198">
            <v>2000599.1300000001</v>
          </cell>
          <cell r="O198" t="str">
            <v>Jul</v>
          </cell>
          <cell r="P198">
            <v>168836.02000000002</v>
          </cell>
          <cell r="Q198">
            <v>614837.80999999994</v>
          </cell>
          <cell r="R198">
            <v>248525.44000000003</v>
          </cell>
          <cell r="S198">
            <v>719687.84000000008</v>
          </cell>
          <cell r="T198">
            <v>1751887.1099999999</v>
          </cell>
          <cell r="Y198" t="str">
            <v>Jul</v>
          </cell>
          <cell r="Z198">
            <v>-2582799.23</v>
          </cell>
          <cell r="AA198">
            <v>1751887.1099999999</v>
          </cell>
          <cell r="AB198">
            <v>3826.760000000002</v>
          </cell>
          <cell r="AD198">
            <v>-827085.3600000001</v>
          </cell>
        </row>
        <row r="199">
          <cell r="C199" t="str">
            <v>Ago</v>
          </cell>
          <cell r="D199">
            <v>93753.889999999985</v>
          </cell>
          <cell r="E199">
            <v>303172.76999999996</v>
          </cell>
          <cell r="F199">
            <v>1349105.51</v>
          </cell>
          <cell r="G199">
            <v>534363.61</v>
          </cell>
          <cell r="I199">
            <v>2280395.77</v>
          </cell>
          <cell r="O199" t="str">
            <v>Ago</v>
          </cell>
          <cell r="P199">
            <v>191294.78000000003</v>
          </cell>
          <cell r="Q199">
            <v>738646.66999999993</v>
          </cell>
          <cell r="R199">
            <v>343395.31000000006</v>
          </cell>
          <cell r="S199">
            <v>739080.54</v>
          </cell>
          <cell r="T199">
            <v>2012417.2999999998</v>
          </cell>
          <cell r="Y199" t="str">
            <v>Ago</v>
          </cell>
          <cell r="Z199">
            <v>-3068529.67</v>
          </cell>
          <cell r="AA199">
            <v>2012417.2999999998</v>
          </cell>
          <cell r="AB199">
            <v>84435.799999999988</v>
          </cell>
          <cell r="AD199">
            <v>-971676.57000000007</v>
          </cell>
        </row>
        <row r="200">
          <cell r="C200" t="str">
            <v>Sep</v>
          </cell>
          <cell r="D200">
            <v>109866.19999999998</v>
          </cell>
          <cell r="E200">
            <v>344713.44999999995</v>
          </cell>
          <cell r="F200">
            <v>1508029.15</v>
          </cell>
          <cell r="G200">
            <v>621842.75</v>
          </cell>
          <cell r="I200">
            <v>2584451.54</v>
          </cell>
          <cell r="O200" t="str">
            <v>Sep</v>
          </cell>
          <cell r="P200">
            <v>229933.13000000003</v>
          </cell>
          <cell r="Q200">
            <v>710635.41999999993</v>
          </cell>
          <cell r="R200">
            <v>448879.18000000005</v>
          </cell>
          <cell r="S200">
            <v>855974.09000000008</v>
          </cell>
          <cell r="T200">
            <v>2245421.8299999996</v>
          </cell>
          <cell r="Y200" t="str">
            <v>Sep</v>
          </cell>
          <cell r="Z200">
            <v>-3613164.45</v>
          </cell>
          <cell r="AA200">
            <v>2245421.8299999996</v>
          </cell>
          <cell r="AB200">
            <v>214752.63999999998</v>
          </cell>
          <cell r="AD200">
            <v>-1152989.9800000007</v>
          </cell>
        </row>
        <row r="201">
          <cell r="C201" t="str">
            <v>Oct</v>
          </cell>
          <cell r="D201">
            <v>128413.39999999998</v>
          </cell>
          <cell r="E201">
            <v>392090.58999999997</v>
          </cell>
          <cell r="F201">
            <v>1727095.63</v>
          </cell>
          <cell r="G201">
            <v>776207.8</v>
          </cell>
          <cell r="I201">
            <v>3023807.42</v>
          </cell>
          <cell r="O201" t="str">
            <v>Oct</v>
          </cell>
          <cell r="P201">
            <v>149970.61000000004</v>
          </cell>
          <cell r="Q201">
            <v>991706.65999999992</v>
          </cell>
          <cell r="R201">
            <v>486233.79000000004</v>
          </cell>
          <cell r="S201">
            <v>828116.79</v>
          </cell>
          <cell r="T201">
            <v>2456027.8499999996</v>
          </cell>
          <cell r="Y201" t="str">
            <v>Oct</v>
          </cell>
          <cell r="Z201">
            <v>-3877528.97</v>
          </cell>
          <cell r="AA201">
            <v>2456027.8499999996</v>
          </cell>
          <cell r="AB201">
            <v>242163.68999999997</v>
          </cell>
          <cell r="AD201">
            <v>-1179337.4300000006</v>
          </cell>
        </row>
        <row r="202">
          <cell r="C202" t="str">
            <v>Nov</v>
          </cell>
          <cell r="D202">
            <v>152728.08999999997</v>
          </cell>
          <cell r="E202">
            <v>436360.52999999997</v>
          </cell>
          <cell r="F202">
            <v>1911148.2399999998</v>
          </cell>
          <cell r="G202">
            <v>873392.6100000001</v>
          </cell>
          <cell r="I202">
            <v>3373629.4699999997</v>
          </cell>
          <cell r="O202" t="str">
            <v>Nov</v>
          </cell>
          <cell r="P202">
            <v>247651.97000000003</v>
          </cell>
          <cell r="Q202">
            <v>1060046.92</v>
          </cell>
          <cell r="R202">
            <v>500718.75000000006</v>
          </cell>
          <cell r="S202">
            <v>868916.32000000007</v>
          </cell>
          <cell r="T202">
            <v>2677333.9699999997</v>
          </cell>
          <cell r="Y202" t="str">
            <v>Nov</v>
          </cell>
          <cell r="Z202">
            <v>-4004351.4400000004</v>
          </cell>
          <cell r="AA202">
            <v>2677333.9699999997</v>
          </cell>
          <cell r="AB202">
            <v>120428.27999999997</v>
          </cell>
          <cell r="AD202">
            <v>-1206589.1900000006</v>
          </cell>
        </row>
        <row r="203">
          <cell r="C203" t="str">
            <v>Dic*</v>
          </cell>
          <cell r="D203">
            <v>169668.12999999998</v>
          </cell>
          <cell r="E203">
            <v>496315.29</v>
          </cell>
          <cell r="F203">
            <v>2119010.5099999998</v>
          </cell>
          <cell r="G203">
            <v>932815.71000000008</v>
          </cell>
          <cell r="I203">
            <v>3717809.6399999997</v>
          </cell>
          <cell r="O203" t="str">
            <v>Dic*</v>
          </cell>
          <cell r="P203">
            <v>417783.20000000007</v>
          </cell>
          <cell r="Q203">
            <v>1334133.9099999999</v>
          </cell>
          <cell r="R203">
            <v>534844.37000000011</v>
          </cell>
          <cell r="S203">
            <v>644844.19000000006</v>
          </cell>
          <cell r="T203">
            <v>2931605.69</v>
          </cell>
          <cell r="Y203" t="str">
            <v>Dic*</v>
          </cell>
          <cell r="Z203">
            <v>-4270342.7100000009</v>
          </cell>
          <cell r="AA203">
            <v>2931605.69</v>
          </cell>
          <cell r="AB203">
            <v>161486.69999999995</v>
          </cell>
          <cell r="AD203">
            <v>-1177250.320000001</v>
          </cell>
        </row>
        <row r="217">
          <cell r="B217" t="str">
            <v>Cuadro II-3C</v>
          </cell>
          <cell r="N217" t="str">
            <v>Cuadro II-4C</v>
          </cell>
          <cell r="X217" t="str">
            <v>Cuadro II-5C</v>
          </cell>
        </row>
        <row r="219">
          <cell r="B219" t="str">
            <v>REINTEGROS POR SERVICIOS FINANCIEROS Y NO FINANCIEROS</v>
          </cell>
          <cell r="N219" t="str">
            <v>CUENTA DE CAPITAL</v>
          </cell>
          <cell r="X219" t="str">
            <v>BALANZA CAMBIARIA</v>
          </cell>
        </row>
        <row r="221">
          <cell r="B221" t="str">
            <v>(Promedios móviles de orden 6)</v>
          </cell>
          <cell r="N221" t="str">
            <v>(Promedios móviles de órden 6)</v>
          </cell>
          <cell r="X221" t="str">
            <v>(Promedios móviles de orden 6)</v>
          </cell>
        </row>
        <row r="223">
          <cell r="G223" t="str">
            <v xml:space="preserve">             (Miles de dólares)</v>
          </cell>
          <cell r="S223" t="str">
            <v xml:space="preserve">                          (Miles de dólares)</v>
          </cell>
          <cell r="AB223" t="str">
            <v xml:space="preserve">                                 (Miles de dólares)</v>
          </cell>
        </row>
        <row r="224">
          <cell r="B224" t="str">
            <v>Período</v>
          </cell>
          <cell r="D224" t="str">
            <v>Turismo</v>
          </cell>
          <cell r="E224" t="str">
            <v>Transferencias</v>
          </cell>
          <cell r="F224" t="str">
            <v>Otros servicios</v>
          </cell>
          <cell r="G224" t="str">
            <v>Servicios</v>
          </cell>
          <cell r="I224" t="str">
            <v>Servicios</v>
          </cell>
          <cell r="N224" t="str">
            <v>Período</v>
          </cell>
          <cell r="P224" t="str">
            <v>Sector</v>
          </cell>
          <cell r="Q224" t="str">
            <v>Inversión</v>
          </cell>
          <cell r="R224" t="str">
            <v>Sector</v>
          </cell>
          <cell r="S224" t="str">
            <v>Operaciones</v>
          </cell>
          <cell r="T224" t="str">
            <v>Financiación</v>
          </cell>
          <cell r="Y224" t="str">
            <v>Período</v>
          </cell>
          <cell r="Z224" t="str">
            <v>Superávit o</v>
          </cell>
          <cell r="AA224" t="str">
            <v xml:space="preserve">  Financiación</v>
          </cell>
          <cell r="AB224" t="str">
            <v>Causaciones</v>
          </cell>
          <cell r="AD224" t="str">
            <v>Var. reservas</v>
          </cell>
        </row>
        <row r="225">
          <cell r="E225" t="str">
            <v>e ingresos</v>
          </cell>
          <cell r="F225" t="str">
            <v>no financieros</v>
          </cell>
          <cell r="G225" t="str">
            <v>financieros</v>
          </cell>
          <cell r="I225" t="str">
            <v>totales</v>
          </cell>
          <cell r="P225" t="str">
            <v>privado¹</v>
          </cell>
          <cell r="Q225" t="str">
            <v>extranjera</v>
          </cell>
          <cell r="R225" t="str">
            <v>oficial¹</v>
          </cell>
          <cell r="S225" t="str">
            <v>especiales²</v>
          </cell>
          <cell r="T225" t="str">
            <v>neta</v>
          </cell>
          <cell r="Z225" t="str">
            <v>déficit en</v>
          </cell>
          <cell r="AA225" t="str">
            <v>neta</v>
          </cell>
          <cell r="AB225" t="str">
            <v>valuac. y prov.</v>
          </cell>
          <cell r="AD225" t="str">
            <v>netas</v>
          </cell>
        </row>
        <row r="226">
          <cell r="E226" t="str">
            <v>personales</v>
          </cell>
          <cell r="Q226" t="str">
            <v>neta</v>
          </cell>
          <cell r="Z226" t="str">
            <v>Cta. Cte.</v>
          </cell>
        </row>
        <row r="227">
          <cell r="C227" t="str">
            <v>Ene/92</v>
          </cell>
          <cell r="D227">
            <v>53575.166666666664</v>
          </cell>
          <cell r="E227">
            <v>131550.16666666666</v>
          </cell>
          <cell r="F227">
            <v>30883.833333333332</v>
          </cell>
          <cell r="G227">
            <v>31412</v>
          </cell>
          <cell r="I227">
            <v>247421.16666666666</v>
          </cell>
          <cell r="O227" t="str">
            <v>Ene/92</v>
          </cell>
          <cell r="P227">
            <v>1068.8333333333528</v>
          </cell>
          <cell r="Q227" t="e">
            <v>#DIV/0!</v>
          </cell>
          <cell r="R227" t="e">
            <v>#DIV/0!</v>
          </cell>
          <cell r="S227" t="e">
            <v>#DIV/0!</v>
          </cell>
          <cell r="T227" t="e">
            <v>#DIV/0!</v>
          </cell>
          <cell r="Y227" t="str">
            <v>Ene/92</v>
          </cell>
          <cell r="Z227" t="e">
            <v>#DIV/0!</v>
          </cell>
          <cell r="AA227" t="e">
            <v>#DIV/0!</v>
          </cell>
          <cell r="AB227" t="e">
            <v>#DIV/0!</v>
          </cell>
          <cell r="AD227" t="e">
            <v>#DIV/0!</v>
          </cell>
        </row>
        <row r="228">
          <cell r="C228" t="str">
            <v>Feb</v>
          </cell>
          <cell r="D228">
            <v>63191.5</v>
          </cell>
          <cell r="E228">
            <v>135052.16666666666</v>
          </cell>
          <cell r="F228">
            <v>33550.5</v>
          </cell>
          <cell r="G228">
            <v>32293.166666666668</v>
          </cell>
          <cell r="I228">
            <v>264087.33333333331</v>
          </cell>
          <cell r="O228" t="str">
            <v>Feb</v>
          </cell>
          <cell r="P228">
            <v>1068.8333333333528</v>
          </cell>
          <cell r="Q228" t="e">
            <v>#DIV/0!</v>
          </cell>
          <cell r="R228" t="e">
            <v>#DIV/0!</v>
          </cell>
          <cell r="S228" t="e">
            <v>#DIV/0!</v>
          </cell>
          <cell r="T228" t="e">
            <v>#DIV/0!</v>
          </cell>
          <cell r="Y228" t="str">
            <v>Feb</v>
          </cell>
          <cell r="Z228" t="e">
            <v>#DIV/0!</v>
          </cell>
          <cell r="AA228" t="e">
            <v>#DIV/0!</v>
          </cell>
          <cell r="AB228" t="e">
            <v>#DIV/0!</v>
          </cell>
          <cell r="AD228" t="e">
            <v>#DIV/0!</v>
          </cell>
        </row>
        <row r="229">
          <cell r="C229" t="str">
            <v>Mar</v>
          </cell>
          <cell r="D229">
            <v>75384.5</v>
          </cell>
          <cell r="E229">
            <v>134736</v>
          </cell>
          <cell r="F229">
            <v>34344.666666666664</v>
          </cell>
          <cell r="G229">
            <v>32894.833333333336</v>
          </cell>
          <cell r="I229">
            <v>277360</v>
          </cell>
          <cell r="O229" t="str">
            <v>Mar</v>
          </cell>
          <cell r="P229">
            <v>1068.8333333333528</v>
          </cell>
          <cell r="Q229" t="e">
            <v>#DIV/0!</v>
          </cell>
          <cell r="R229" t="e">
            <v>#DIV/0!</v>
          </cell>
          <cell r="S229" t="e">
            <v>#DIV/0!</v>
          </cell>
          <cell r="T229" t="e">
            <v>#DIV/0!</v>
          </cell>
          <cell r="Y229" t="str">
            <v>Mar</v>
          </cell>
          <cell r="Z229" t="e">
            <v>#DIV/0!</v>
          </cell>
          <cell r="AA229" t="e">
            <v>#DIV/0!</v>
          </cell>
          <cell r="AB229" t="e">
            <v>#DIV/0!</v>
          </cell>
          <cell r="AD229" t="e">
            <v>#DIV/0!</v>
          </cell>
        </row>
        <row r="230">
          <cell r="C230" t="str">
            <v>Abr</v>
          </cell>
          <cell r="D230">
            <v>77646.166666666672</v>
          </cell>
          <cell r="E230">
            <v>133344.66666666666</v>
          </cell>
          <cell r="F230">
            <v>31694.166666666668</v>
          </cell>
          <cell r="G230">
            <v>30014.666666666668</v>
          </cell>
          <cell r="I230">
            <v>272699.66666666669</v>
          </cell>
          <cell r="O230" t="str">
            <v>Abr</v>
          </cell>
          <cell r="P230">
            <v>1949</v>
          </cell>
          <cell r="Q230" t="e">
            <v>#DIV/0!</v>
          </cell>
          <cell r="R230" t="e">
            <v>#DIV/0!</v>
          </cell>
          <cell r="S230" t="e">
            <v>#DIV/0!</v>
          </cell>
          <cell r="T230" t="e">
            <v>#DIV/0!</v>
          </cell>
          <cell r="Y230" t="str">
            <v>Abr</v>
          </cell>
          <cell r="Z230" t="e">
            <v>#DIV/0!</v>
          </cell>
          <cell r="AA230" t="e">
            <v>#DIV/0!</v>
          </cell>
          <cell r="AB230" t="e">
            <v>#DIV/0!</v>
          </cell>
          <cell r="AD230" t="e">
            <v>#DIV/0!</v>
          </cell>
        </row>
        <row r="231">
          <cell r="C231" t="str">
            <v>May</v>
          </cell>
          <cell r="D231">
            <v>77531.166666666672</v>
          </cell>
          <cell r="E231">
            <v>150378.66666666666</v>
          </cell>
          <cell r="F231">
            <v>32094.833333333332</v>
          </cell>
          <cell r="G231">
            <v>30723.833333333332</v>
          </cell>
          <cell r="I231">
            <v>290728.5</v>
          </cell>
          <cell r="O231" t="str">
            <v>May</v>
          </cell>
          <cell r="P231">
            <v>1366.5</v>
          </cell>
          <cell r="Q231" t="e">
            <v>#DIV/0!</v>
          </cell>
          <cell r="R231" t="e">
            <v>#DIV/0!</v>
          </cell>
          <cell r="S231" t="e">
            <v>#DIV/0!</v>
          </cell>
          <cell r="T231" t="e">
            <v>#DIV/0!</v>
          </cell>
          <cell r="Y231" t="str">
            <v>May</v>
          </cell>
          <cell r="Z231" t="e">
            <v>#DIV/0!</v>
          </cell>
          <cell r="AA231" t="e">
            <v>#DIV/0!</v>
          </cell>
          <cell r="AB231" t="e">
            <v>#DIV/0!</v>
          </cell>
          <cell r="AD231" t="e">
            <v>#DIV/0!</v>
          </cell>
        </row>
        <row r="232">
          <cell r="C232" t="str">
            <v>Jun</v>
          </cell>
          <cell r="D232">
            <v>79363.333333333328</v>
          </cell>
          <cell r="E232">
            <v>161824.33333333334</v>
          </cell>
          <cell r="F232">
            <v>30333.333333333332</v>
          </cell>
          <cell r="G232">
            <v>32161.333333333332</v>
          </cell>
          <cell r="I232">
            <v>303682.33333333331</v>
          </cell>
          <cell r="O232" t="str">
            <v>Jun</v>
          </cell>
          <cell r="P232">
            <v>0</v>
          </cell>
          <cell r="Q232" t="e">
            <v>#DIV/0!</v>
          </cell>
          <cell r="R232" t="e">
            <v>#DIV/0!</v>
          </cell>
          <cell r="S232" t="e">
            <v>#DIV/0!</v>
          </cell>
          <cell r="T232" t="e">
            <v>#DIV/0!</v>
          </cell>
          <cell r="Y232" t="str">
            <v>Jun</v>
          </cell>
          <cell r="Z232" t="e">
            <v>#DIV/0!</v>
          </cell>
          <cell r="AA232" t="e">
            <v>#DIV/0!</v>
          </cell>
          <cell r="AB232" t="e">
            <v>#DIV/0!</v>
          </cell>
          <cell r="AD232" t="e">
            <v>#DIV/0!</v>
          </cell>
        </row>
        <row r="233">
          <cell r="C233" t="str">
            <v>Jul</v>
          </cell>
          <cell r="D233">
            <v>72166</v>
          </cell>
          <cell r="E233">
            <v>161319.16666666666</v>
          </cell>
          <cell r="F233">
            <v>30033.333333333332</v>
          </cell>
          <cell r="G233">
            <v>31772.5</v>
          </cell>
          <cell r="I233">
            <v>295291</v>
          </cell>
          <cell r="O233" t="str">
            <v>Jul</v>
          </cell>
          <cell r="P233">
            <v>0</v>
          </cell>
          <cell r="Q233" t="e">
            <v>#DIV/0!</v>
          </cell>
          <cell r="R233" t="e">
            <v>#DIV/0!</v>
          </cell>
          <cell r="S233" t="e">
            <v>#DIV/0!</v>
          </cell>
          <cell r="T233" t="e">
            <v>#DIV/0!</v>
          </cell>
          <cell r="Y233" t="str">
            <v>Jul</v>
          </cell>
          <cell r="Z233" t="e">
            <v>#DIV/0!</v>
          </cell>
          <cell r="AA233" t="e">
            <v>#DIV/0!</v>
          </cell>
          <cell r="AB233" t="e">
            <v>#DIV/0!</v>
          </cell>
          <cell r="AD233" t="e">
            <v>#DIV/0!</v>
          </cell>
        </row>
        <row r="234">
          <cell r="C234" t="str">
            <v>Ago</v>
          </cell>
          <cell r="D234">
            <v>71177</v>
          </cell>
          <cell r="E234">
            <v>153532.33333333334</v>
          </cell>
          <cell r="F234">
            <v>29366.666666666668</v>
          </cell>
          <cell r="G234">
            <v>31434.666666666668</v>
          </cell>
          <cell r="I234">
            <v>285510.66666666669</v>
          </cell>
          <cell r="O234" t="str">
            <v>Ago</v>
          </cell>
          <cell r="P234">
            <v>0</v>
          </cell>
          <cell r="Q234" t="e">
            <v>#DIV/0!</v>
          </cell>
          <cell r="R234" t="e">
            <v>#DIV/0!</v>
          </cell>
          <cell r="S234" t="e">
            <v>#DIV/0!</v>
          </cell>
          <cell r="T234" t="e">
            <v>#DIV/0!</v>
          </cell>
          <cell r="Y234" t="str">
            <v>Ago</v>
          </cell>
          <cell r="Z234" t="e">
            <v>#DIV/0!</v>
          </cell>
          <cell r="AA234" t="e">
            <v>#DIV/0!</v>
          </cell>
          <cell r="AB234" t="e">
            <v>#DIV/0!</v>
          </cell>
          <cell r="AD234" t="e">
            <v>#DIV/0!</v>
          </cell>
        </row>
        <row r="235">
          <cell r="C235" t="str">
            <v>Sep</v>
          </cell>
          <cell r="D235">
            <v>72581.833333333328</v>
          </cell>
          <cell r="E235">
            <v>143882</v>
          </cell>
          <cell r="F235">
            <v>30783.333333333332</v>
          </cell>
          <cell r="G235">
            <v>31608.333333333332</v>
          </cell>
          <cell r="I235">
            <v>278855.5</v>
          </cell>
          <cell r="O235" t="str">
            <v>Sep</v>
          </cell>
          <cell r="P235">
            <v>0</v>
          </cell>
          <cell r="Q235" t="e">
            <v>#DIV/0!</v>
          </cell>
          <cell r="R235" t="e">
            <v>#DIV/0!</v>
          </cell>
          <cell r="S235" t="e">
            <v>#DIV/0!</v>
          </cell>
          <cell r="T235" t="e">
            <v>#DIV/0!</v>
          </cell>
          <cell r="Y235" t="str">
            <v>Sep</v>
          </cell>
          <cell r="Z235" t="e">
            <v>#DIV/0!</v>
          </cell>
          <cell r="AA235" t="e">
            <v>#DIV/0!</v>
          </cell>
          <cell r="AB235" t="e">
            <v>#DIV/0!</v>
          </cell>
          <cell r="AD235" t="e">
            <v>#DIV/0!</v>
          </cell>
        </row>
        <row r="236">
          <cell r="C236" t="str">
            <v>Oct</v>
          </cell>
          <cell r="D236">
            <v>64417.5</v>
          </cell>
          <cell r="E236">
            <v>132319.66666666666</v>
          </cell>
          <cell r="F236">
            <v>35583.333333333336</v>
          </cell>
          <cell r="G236">
            <v>33916.5</v>
          </cell>
          <cell r="I236">
            <v>266237</v>
          </cell>
          <cell r="O236" t="str">
            <v>Oct</v>
          </cell>
          <cell r="P236">
            <v>0</v>
          </cell>
          <cell r="Q236" t="e">
            <v>#DIV/0!</v>
          </cell>
          <cell r="R236" t="e">
            <v>#DIV/0!</v>
          </cell>
          <cell r="S236" t="e">
            <v>#DIV/0!</v>
          </cell>
          <cell r="T236" t="e">
            <v>#DIV/0!</v>
          </cell>
          <cell r="Y236" t="str">
            <v>Oct</v>
          </cell>
          <cell r="Z236" t="e">
            <v>#DIV/0!</v>
          </cell>
          <cell r="AA236" t="e">
            <v>#DIV/0!</v>
          </cell>
          <cell r="AB236" t="e">
            <v>#DIV/0!</v>
          </cell>
          <cell r="AD236" t="e">
            <v>#DIV/0!</v>
          </cell>
        </row>
        <row r="237">
          <cell r="C237" t="str">
            <v>Nov</v>
          </cell>
          <cell r="D237">
            <v>59785.833333333336</v>
          </cell>
          <cell r="E237">
            <v>114487.16666666667</v>
          </cell>
          <cell r="F237">
            <v>37866.666666666664</v>
          </cell>
          <cell r="G237">
            <v>33924.166666666664</v>
          </cell>
          <cell r="I237">
            <v>246063.83333333334</v>
          </cell>
          <cell r="O237" t="str">
            <v>Nov</v>
          </cell>
          <cell r="P237">
            <v>0</v>
          </cell>
          <cell r="Q237" t="e">
            <v>#DIV/0!</v>
          </cell>
          <cell r="R237" t="e">
            <v>#DIV/0!</v>
          </cell>
          <cell r="S237" t="e">
            <v>#DIV/0!</v>
          </cell>
          <cell r="T237" t="e">
            <v>#DIV/0!</v>
          </cell>
          <cell r="Y237" t="str">
            <v>Nov</v>
          </cell>
          <cell r="Z237" t="e">
            <v>#DIV/0!</v>
          </cell>
          <cell r="AA237" t="e">
            <v>#DIV/0!</v>
          </cell>
          <cell r="AB237" t="e">
            <v>#DIV/0!</v>
          </cell>
          <cell r="AD237" t="e">
            <v>#DIV/0!</v>
          </cell>
        </row>
        <row r="238">
          <cell r="C238" t="str">
            <v>Dic</v>
          </cell>
          <cell r="D238">
            <v>53534.166666666664</v>
          </cell>
          <cell r="E238">
            <v>103653.16666666667</v>
          </cell>
          <cell r="F238">
            <v>39150</v>
          </cell>
          <cell r="G238">
            <v>33813.833333333336</v>
          </cell>
          <cell r="I238">
            <v>230151.16666666666</v>
          </cell>
          <cell r="O238" t="str">
            <v>Dic</v>
          </cell>
          <cell r="P238">
            <v>0</v>
          </cell>
          <cell r="Q238" t="e">
            <v>#DIV/0!</v>
          </cell>
          <cell r="R238" t="e">
            <v>#DIV/0!</v>
          </cell>
          <cell r="S238" t="e">
            <v>#DIV/0!</v>
          </cell>
          <cell r="T238" t="e">
            <v>#DIV/0!</v>
          </cell>
          <cell r="Y238" t="str">
            <v>Dic</v>
          </cell>
          <cell r="Z238" t="e">
            <v>#DIV/0!</v>
          </cell>
          <cell r="AA238" t="e">
            <v>#DIV/0!</v>
          </cell>
          <cell r="AB238" t="e">
            <v>#DIV/0!</v>
          </cell>
          <cell r="AD238" t="e">
            <v>#DIV/0!</v>
          </cell>
        </row>
        <row r="239">
          <cell r="C239" t="str">
            <v>Ene/93</v>
          </cell>
          <cell r="D239">
            <v>48696.541158333333</v>
          </cell>
          <cell r="E239">
            <v>86987.846106666664</v>
          </cell>
          <cell r="F239">
            <v>38816.241943333334</v>
          </cell>
          <cell r="G239">
            <v>29189.576620000003</v>
          </cell>
          <cell r="I239">
            <v>203690.20582833336</v>
          </cell>
          <cell r="O239" t="str">
            <v>Ene/93</v>
          </cell>
          <cell r="P239">
            <v>0</v>
          </cell>
          <cell r="Q239" t="e">
            <v>#DIV/0!</v>
          </cell>
          <cell r="R239" t="e">
            <v>#DIV/0!</v>
          </cell>
          <cell r="S239" t="e">
            <v>#DIV/0!</v>
          </cell>
          <cell r="T239" t="e">
            <v>#DIV/0!</v>
          </cell>
          <cell r="Y239" t="str">
            <v>Ene/93</v>
          </cell>
          <cell r="Z239" t="e">
            <v>#DIV/0!</v>
          </cell>
          <cell r="AA239" t="e">
            <v>#DIV/0!</v>
          </cell>
          <cell r="AB239" t="e">
            <v>#DIV/0!</v>
          </cell>
          <cell r="AD239" t="e">
            <v>#DIV/0!</v>
          </cell>
        </row>
        <row r="240">
          <cell r="C240" t="str">
            <v>Feb</v>
          </cell>
          <cell r="D240">
            <v>45140.366728333327</v>
          </cell>
          <cell r="E240">
            <v>87481.538271666665</v>
          </cell>
          <cell r="F240">
            <v>39711.158636666667</v>
          </cell>
          <cell r="G240">
            <v>27177.332476666666</v>
          </cell>
          <cell r="I240">
            <v>199510.39611333332</v>
          </cell>
          <cell r="O240" t="str">
            <v>Feb</v>
          </cell>
          <cell r="P240">
            <v>0</v>
          </cell>
          <cell r="Q240" t="e">
            <v>#DIV/0!</v>
          </cell>
          <cell r="R240" t="e">
            <v>#DIV/0!</v>
          </cell>
          <cell r="S240" t="e">
            <v>#DIV/0!</v>
          </cell>
          <cell r="T240" t="e">
            <v>#DIV/0!</v>
          </cell>
          <cell r="Y240" t="str">
            <v>Feb</v>
          </cell>
          <cell r="Z240" t="e">
            <v>#DIV/0!</v>
          </cell>
          <cell r="AA240" t="e">
            <v>#DIV/0!</v>
          </cell>
          <cell r="AB240" t="e">
            <v>#DIV/0!</v>
          </cell>
          <cell r="AD240" t="e">
            <v>#DIV/0!</v>
          </cell>
        </row>
        <row r="241">
          <cell r="C241" t="str">
            <v>Mar</v>
          </cell>
          <cell r="D241">
            <v>40068.53719333333</v>
          </cell>
          <cell r="E241">
            <v>85784.654876666653</v>
          </cell>
          <cell r="F241">
            <v>41147.758826666664</v>
          </cell>
          <cell r="G241">
            <v>25345.396884999998</v>
          </cell>
          <cell r="I241">
            <v>192346.34778166667</v>
          </cell>
          <cell r="O241" t="str">
            <v>Mar</v>
          </cell>
          <cell r="P241">
            <v>0</v>
          </cell>
          <cell r="Q241" t="e">
            <v>#DIV/0!</v>
          </cell>
          <cell r="R241" t="e">
            <v>#DIV/0!</v>
          </cell>
          <cell r="S241" t="e">
            <v>#DIV/0!</v>
          </cell>
          <cell r="T241" t="e">
            <v>#DIV/0!</v>
          </cell>
          <cell r="Y241" t="str">
            <v>Mar</v>
          </cell>
          <cell r="Z241" t="e">
            <v>#DIV/0!</v>
          </cell>
          <cell r="AA241" t="e">
            <v>#DIV/0!</v>
          </cell>
          <cell r="AB241" t="e">
            <v>#DIV/0!</v>
          </cell>
          <cell r="AD241" t="e">
            <v>#DIV/0!</v>
          </cell>
        </row>
        <row r="242">
          <cell r="C242" t="str">
            <v>Abr</v>
          </cell>
          <cell r="D242">
            <v>45275.376645000004</v>
          </cell>
          <cell r="E242">
            <v>91742.40879833333</v>
          </cell>
          <cell r="F242">
            <v>38254.559215000001</v>
          </cell>
          <cell r="G242">
            <v>23844.748673333335</v>
          </cell>
          <cell r="I242">
            <v>199117.09333166666</v>
          </cell>
          <cell r="O242" t="str">
            <v>Abr</v>
          </cell>
          <cell r="P242">
            <v>0</v>
          </cell>
          <cell r="Q242" t="e">
            <v>#DIV/0!</v>
          </cell>
          <cell r="R242" t="e">
            <v>#DIV/0!</v>
          </cell>
          <cell r="S242" t="e">
            <v>#DIV/0!</v>
          </cell>
          <cell r="T242" t="e">
            <v>#DIV/0!</v>
          </cell>
          <cell r="Y242" t="str">
            <v>Abr</v>
          </cell>
          <cell r="Z242" t="e">
            <v>#DIV/0!</v>
          </cell>
          <cell r="AA242" t="e">
            <v>#DIV/0!</v>
          </cell>
          <cell r="AB242" t="e">
            <v>#DIV/0!</v>
          </cell>
          <cell r="AD242" t="e">
            <v>#DIV/0!</v>
          </cell>
        </row>
        <row r="243">
          <cell r="C243" t="str">
            <v>May</v>
          </cell>
          <cell r="D243">
            <v>53336.531638333334</v>
          </cell>
          <cell r="E243">
            <v>106075.44597</v>
          </cell>
          <cell r="F243">
            <v>39708.389415000005</v>
          </cell>
          <cell r="G243">
            <v>26367.805359999998</v>
          </cell>
          <cell r="I243">
            <v>225488.17238333332</v>
          </cell>
          <cell r="O243" t="str">
            <v>May</v>
          </cell>
          <cell r="P243">
            <v>0</v>
          </cell>
          <cell r="Q243" t="e">
            <v>#DIV/0!</v>
          </cell>
          <cell r="R243" t="e">
            <v>#DIV/0!</v>
          </cell>
          <cell r="S243" t="e">
            <v>#DIV/0!</v>
          </cell>
          <cell r="T243" t="e">
            <v>#DIV/0!</v>
          </cell>
          <cell r="Y243" t="str">
            <v>May</v>
          </cell>
          <cell r="Z243" t="e">
            <v>#DIV/0!</v>
          </cell>
          <cell r="AA243" t="e">
            <v>#DIV/0!</v>
          </cell>
          <cell r="AB243" t="e">
            <v>#DIV/0!</v>
          </cell>
          <cell r="AD243" t="e">
            <v>#DIV/0!</v>
          </cell>
        </row>
        <row r="244">
          <cell r="C244" t="str">
            <v>Jun</v>
          </cell>
          <cell r="D244">
            <v>60823.431783333333</v>
          </cell>
          <cell r="E244">
            <v>118388.17709000001</v>
          </cell>
          <cell r="F244">
            <v>46752.194970000004</v>
          </cell>
          <cell r="G244">
            <v>33258.421918333333</v>
          </cell>
          <cell r="I244">
            <v>259222.22576166666</v>
          </cell>
          <cell r="O244" t="str">
            <v>Jun</v>
          </cell>
          <cell r="P244">
            <v>0</v>
          </cell>
          <cell r="Q244" t="e">
            <v>#DIV/0!</v>
          </cell>
          <cell r="R244" t="e">
            <v>#DIV/0!</v>
          </cell>
          <cell r="S244" t="e">
            <v>#DIV/0!</v>
          </cell>
          <cell r="T244" t="e">
            <v>#DIV/0!</v>
          </cell>
          <cell r="Y244" t="str">
            <v>Jun</v>
          </cell>
          <cell r="Z244" t="e">
            <v>#DIV/0!</v>
          </cell>
          <cell r="AA244" t="e">
            <v>#DIV/0!</v>
          </cell>
          <cell r="AB244" t="e">
            <v>#DIV/0!</v>
          </cell>
          <cell r="AD244" t="e">
            <v>#DIV/0!</v>
          </cell>
        </row>
        <row r="245">
          <cell r="C245" t="str">
            <v>Jul</v>
          </cell>
          <cell r="D245">
            <v>65714.304956666674</v>
          </cell>
          <cell r="E245">
            <v>126018.70792999999</v>
          </cell>
          <cell r="F245">
            <v>51454.070314999997</v>
          </cell>
          <cell r="G245">
            <v>40816.15426166667</v>
          </cell>
          <cell r="I245">
            <v>284003.23746333335</v>
          </cell>
          <cell r="O245" t="str">
            <v>Jul</v>
          </cell>
          <cell r="P245">
            <v>0</v>
          </cell>
          <cell r="Q245" t="e">
            <v>#DIV/0!</v>
          </cell>
          <cell r="R245" t="e">
            <v>#DIV/0!</v>
          </cell>
          <cell r="S245" t="e">
            <v>#DIV/0!</v>
          </cell>
          <cell r="T245" t="e">
            <v>#DIV/0!</v>
          </cell>
          <cell r="Y245" t="str">
            <v>Jul</v>
          </cell>
          <cell r="Z245" t="e">
            <v>#DIV/0!</v>
          </cell>
          <cell r="AA245" t="e">
            <v>#DIV/0!</v>
          </cell>
          <cell r="AB245" t="e">
            <v>#DIV/0!</v>
          </cell>
          <cell r="AD245" t="e">
            <v>#DIV/0!</v>
          </cell>
        </row>
        <row r="246">
          <cell r="C246" t="str">
            <v>Ago</v>
          </cell>
          <cell r="D246">
            <v>71374.643116666673</v>
          </cell>
          <cell r="E246">
            <v>125482.09617166668</v>
          </cell>
          <cell r="F246">
            <v>52720.997736666664</v>
          </cell>
          <cell r="G246">
            <v>49508.68894</v>
          </cell>
          <cell r="I246">
            <v>299086.425965</v>
          </cell>
          <cell r="O246" t="str">
            <v>Ago</v>
          </cell>
          <cell r="P246">
            <v>0</v>
          </cell>
          <cell r="Q246" t="e">
            <v>#DIV/0!</v>
          </cell>
          <cell r="R246" t="e">
            <v>#DIV/0!</v>
          </cell>
          <cell r="S246" t="e">
            <v>#DIV/0!</v>
          </cell>
          <cell r="T246" t="e">
            <v>#DIV/0!</v>
          </cell>
          <cell r="Y246" t="str">
            <v>Ago</v>
          </cell>
          <cell r="Z246" t="e">
            <v>#DIV/0!</v>
          </cell>
          <cell r="AA246" t="e">
            <v>#DIV/0!</v>
          </cell>
          <cell r="AB246" t="e">
            <v>#DIV/0!</v>
          </cell>
          <cell r="AD246" t="e">
            <v>#DIV/0!</v>
          </cell>
        </row>
        <row r="247">
          <cell r="C247" t="str">
            <v>Sep</v>
          </cell>
          <cell r="D247">
            <v>70764.136860000013</v>
          </cell>
          <cell r="E247">
            <v>125592.09401</v>
          </cell>
          <cell r="F247">
            <v>52830.42791166668</v>
          </cell>
          <cell r="G247">
            <v>54990.579549999995</v>
          </cell>
          <cell r="I247">
            <v>304177.23833166668</v>
          </cell>
          <cell r="O247" t="str">
            <v>Sep</v>
          </cell>
          <cell r="P247">
            <v>0</v>
          </cell>
          <cell r="Q247" t="e">
            <v>#DIV/0!</v>
          </cell>
          <cell r="R247" t="e">
            <v>#DIV/0!</v>
          </cell>
          <cell r="S247" t="e">
            <v>#DIV/0!</v>
          </cell>
          <cell r="T247" t="e">
            <v>#DIV/0!</v>
          </cell>
          <cell r="Y247" t="str">
            <v>Sep</v>
          </cell>
          <cell r="Z247" t="e">
            <v>#DIV/0!</v>
          </cell>
          <cell r="AA247" t="e">
            <v>#DIV/0!</v>
          </cell>
          <cell r="AB247" t="e">
            <v>#DIV/0!</v>
          </cell>
          <cell r="AD247" t="e">
            <v>#DIV/0!</v>
          </cell>
        </row>
        <row r="248">
          <cell r="C248" t="str">
            <v>Oct*</v>
          </cell>
          <cell r="D248">
            <v>69398.446473333344</v>
          </cell>
          <cell r="E248">
            <v>114208.93174499999</v>
          </cell>
          <cell r="F248">
            <v>55363.891340000002</v>
          </cell>
          <cell r="G248">
            <v>59820.276210000004</v>
          </cell>
          <cell r="I248">
            <v>298791.54576833331</v>
          </cell>
          <cell r="O248" t="str">
            <v>Oct*</v>
          </cell>
          <cell r="P248">
            <v>0</v>
          </cell>
          <cell r="Q248" t="e">
            <v>#DIV/0!</v>
          </cell>
          <cell r="R248" t="e">
            <v>#DIV/0!</v>
          </cell>
          <cell r="S248" t="e">
            <v>#DIV/0!</v>
          </cell>
          <cell r="T248" t="e">
            <v>#DIV/0!</v>
          </cell>
          <cell r="Y248" t="str">
            <v>Oct*</v>
          </cell>
          <cell r="Z248" t="e">
            <v>#DIV/0!</v>
          </cell>
          <cell r="AA248" t="e">
            <v>#DIV/0!</v>
          </cell>
          <cell r="AB248" t="e">
            <v>#DIV/0!</v>
          </cell>
          <cell r="AD248" t="e">
            <v>#DIV/0!</v>
          </cell>
        </row>
        <row r="249">
          <cell r="C249" t="str">
            <v>Nov*</v>
          </cell>
          <cell r="D249">
            <v>68060.369083333338</v>
          </cell>
          <cell r="E249">
            <v>96195.481076666663</v>
          </cell>
          <cell r="F249">
            <v>54760.679378333327</v>
          </cell>
          <cell r="G249">
            <v>58777.430366666667</v>
          </cell>
          <cell r="I249">
            <v>277793.959905</v>
          </cell>
          <cell r="O249" t="str">
            <v>Nov*</v>
          </cell>
          <cell r="P249">
            <v>0</v>
          </cell>
          <cell r="Q249" t="e">
            <v>#DIV/0!</v>
          </cell>
          <cell r="R249" t="e">
            <v>#DIV/0!</v>
          </cell>
          <cell r="S249" t="e">
            <v>#DIV/0!</v>
          </cell>
          <cell r="T249" t="e">
            <v>#DIV/0!</v>
          </cell>
          <cell r="Y249" t="str">
            <v>Nov*</v>
          </cell>
          <cell r="Z249" t="e">
            <v>#DIV/0!</v>
          </cell>
          <cell r="AA249" t="e">
            <v>#DIV/0!</v>
          </cell>
          <cell r="AB249" t="e">
            <v>#DIV/0!</v>
          </cell>
          <cell r="AD249" t="e">
            <v>#DIV/0!</v>
          </cell>
        </row>
        <row r="250">
          <cell r="C250" t="str">
            <v>Dic*</v>
          </cell>
          <cell r="D250">
            <v>61571.865801666667</v>
          </cell>
          <cell r="E250">
            <v>73784.425969999997</v>
          </cell>
          <cell r="F250">
            <v>57175.442533333342</v>
          </cell>
          <cell r="G250">
            <v>54967.46452666667</v>
          </cell>
          <cell r="I250">
            <v>247499.1988316667</v>
          </cell>
          <cell r="O250" t="str">
            <v>Dic*</v>
          </cell>
          <cell r="P250">
            <v>0</v>
          </cell>
          <cell r="Q250" t="e">
            <v>#DIV/0!</v>
          </cell>
          <cell r="R250" t="e">
            <v>#DIV/0!</v>
          </cell>
          <cell r="S250" t="e">
            <v>#DIV/0!</v>
          </cell>
          <cell r="T250" t="e">
            <v>#DIV/0!</v>
          </cell>
          <cell r="Y250" t="str">
            <v>Dic*</v>
          </cell>
          <cell r="Z250" t="e">
            <v>#DIV/0!</v>
          </cell>
          <cell r="AA250" t="e">
            <v>#DIV/0!</v>
          </cell>
          <cell r="AB250" t="e">
            <v>#DIV/0!</v>
          </cell>
          <cell r="AD250" t="e">
            <v>#DIV/0!</v>
          </cell>
        </row>
        <row r="251">
          <cell r="B251">
            <v>1994</v>
          </cell>
          <cell r="C251" t="str">
            <v>Ene</v>
          </cell>
          <cell r="D251">
            <v>58349.035449999996</v>
          </cell>
          <cell r="E251">
            <v>67741.529381666667</v>
          </cell>
          <cell r="F251">
            <v>63115.775935000005</v>
          </cell>
          <cell r="G251">
            <v>48349.114938333332</v>
          </cell>
          <cell r="I251">
            <v>237555.455705</v>
          </cell>
          <cell r="N251">
            <v>1994</v>
          </cell>
          <cell r="O251" t="str">
            <v>Ene</v>
          </cell>
          <cell r="P251">
            <v>106516.19357166666</v>
          </cell>
          <cell r="Q251">
            <v>38967.064376666669</v>
          </cell>
          <cell r="R251">
            <v>-65959.74559333334</v>
          </cell>
          <cell r="S251">
            <v>18315.784741666666</v>
          </cell>
          <cell r="T251">
            <v>97839.297096666691</v>
          </cell>
          <cell r="X251">
            <v>1994</v>
          </cell>
          <cell r="Y251" t="str">
            <v>Ene</v>
          </cell>
          <cell r="Z251">
            <v>-121754.46694499999</v>
          </cell>
          <cell r="AA251">
            <v>97839.297096666691</v>
          </cell>
          <cell r="AB251">
            <v>-19295.807733333331</v>
          </cell>
          <cell r="AD251">
            <v>-43210.977581666659</v>
          </cell>
        </row>
        <row r="252">
          <cell r="C252" t="str">
            <v>Feb</v>
          </cell>
          <cell r="D252">
            <v>56637.016328333331</v>
          </cell>
          <cell r="E252">
            <v>64571.616623333342</v>
          </cell>
          <cell r="F252">
            <v>68315.628051666659</v>
          </cell>
          <cell r="G252">
            <v>41153.566006666668</v>
          </cell>
          <cell r="I252">
            <v>230677.82701000001</v>
          </cell>
          <cell r="O252" t="str">
            <v>Feb</v>
          </cell>
          <cell r="P252">
            <v>108872.30456833332</v>
          </cell>
          <cell r="Q252">
            <v>42487.985388333334</v>
          </cell>
          <cell r="R252">
            <v>-75215.16164333334</v>
          </cell>
          <cell r="S252">
            <v>-7943.4424633333338</v>
          </cell>
          <cell r="T252">
            <v>68201.685849999994</v>
          </cell>
          <cell r="Y252" t="str">
            <v>Feb</v>
          </cell>
          <cell r="Z252">
            <v>-89236.291058333314</v>
          </cell>
          <cell r="AA252">
            <v>68201.685849999994</v>
          </cell>
          <cell r="AB252">
            <v>-22316.922465</v>
          </cell>
          <cell r="AD252">
            <v>-43351.527673333323</v>
          </cell>
        </row>
        <row r="253">
          <cell r="C253" t="str">
            <v>Mar</v>
          </cell>
          <cell r="D253">
            <v>58656.667476666662</v>
          </cell>
          <cell r="E253">
            <v>59040.84837166666</v>
          </cell>
          <cell r="F253">
            <v>85058.357966666677</v>
          </cell>
          <cell r="G253">
            <v>37059.965403333335</v>
          </cell>
          <cell r="I253">
            <v>239815.83921833328</v>
          </cell>
          <cell r="O253" t="str">
            <v>Mar</v>
          </cell>
          <cell r="P253">
            <v>125762.47433833331</v>
          </cell>
          <cell r="Q253">
            <v>34338.802599999995</v>
          </cell>
          <cell r="R253">
            <v>-84411.477709999992</v>
          </cell>
          <cell r="S253">
            <v>-34194.880753333338</v>
          </cell>
          <cell r="T253">
            <v>41494.918475000006</v>
          </cell>
          <cell r="Y253" t="str">
            <v>Mar</v>
          </cell>
          <cell r="Z253">
            <v>-62593.095219999996</v>
          </cell>
          <cell r="AA253">
            <v>41494.918475000006</v>
          </cell>
          <cell r="AB253">
            <v>-25967.200200000003</v>
          </cell>
          <cell r="AD253">
            <v>-47065.376945000004</v>
          </cell>
        </row>
        <row r="254">
          <cell r="C254" t="str">
            <v>Abr</v>
          </cell>
          <cell r="D254">
            <v>62545.59262166667</v>
          </cell>
          <cell r="E254">
            <v>62169.325461666675</v>
          </cell>
          <cell r="F254">
            <v>88496.75539666666</v>
          </cell>
          <cell r="G254">
            <v>32130.182066666664</v>
          </cell>
          <cell r="I254">
            <v>245341.85554666666</v>
          </cell>
          <cell r="O254" t="str">
            <v>Abr</v>
          </cell>
          <cell r="P254">
            <v>117338.25133166664</v>
          </cell>
          <cell r="Q254">
            <v>25211.435103333333</v>
          </cell>
          <cell r="R254">
            <v>-47274.777338333341</v>
          </cell>
          <cell r="S254">
            <v>-12705.555399999999</v>
          </cell>
          <cell r="T254">
            <v>82569.353696666672</v>
          </cell>
          <cell r="Y254" t="str">
            <v>Abr</v>
          </cell>
          <cell r="Z254">
            <v>-81881.771136666663</v>
          </cell>
          <cell r="AA254">
            <v>82569.353696666672</v>
          </cell>
          <cell r="AB254">
            <v>-10027.524211666669</v>
          </cell>
          <cell r="AD254">
            <v>-9339.9416516666624</v>
          </cell>
        </row>
        <row r="255">
          <cell r="C255" t="str">
            <v>May</v>
          </cell>
          <cell r="D255">
            <v>65159.472663333327</v>
          </cell>
          <cell r="E255">
            <v>64569.760058333333</v>
          </cell>
          <cell r="F255">
            <v>93306.480348333323</v>
          </cell>
          <cell r="G255">
            <v>33315.968985</v>
          </cell>
          <cell r="I255">
            <v>256351.68205500001</v>
          </cell>
          <cell r="O255" t="str">
            <v>May</v>
          </cell>
          <cell r="P255">
            <v>108251.53574499999</v>
          </cell>
          <cell r="Q255">
            <v>23994.472409999998</v>
          </cell>
          <cell r="R255">
            <v>-30403.066131666663</v>
          </cell>
          <cell r="S255">
            <v>-22370.669833333333</v>
          </cell>
          <cell r="T255">
            <v>79472.272190000003</v>
          </cell>
          <cell r="Y255" t="str">
            <v>May</v>
          </cell>
          <cell r="Z255">
            <v>-78192.569258333344</v>
          </cell>
          <cell r="AA255">
            <v>79472.272190000003</v>
          </cell>
          <cell r="AB255">
            <v>-5223.3364166666679</v>
          </cell>
          <cell r="AD255">
            <v>-3943.6334849999985</v>
          </cell>
        </row>
        <row r="256">
          <cell r="C256" t="str">
            <v>Jun</v>
          </cell>
          <cell r="D256">
            <v>63612.135671666671</v>
          </cell>
          <cell r="E256">
            <v>66451.889329999991</v>
          </cell>
          <cell r="F256">
            <v>92258.210493333347</v>
          </cell>
          <cell r="G256">
            <v>31022.114653333334</v>
          </cell>
          <cell r="I256">
            <v>253344.35014833335</v>
          </cell>
          <cell r="O256" t="str">
            <v>Jun</v>
          </cell>
          <cell r="P256">
            <v>83137.047623333332</v>
          </cell>
          <cell r="Q256">
            <v>26546.172053333332</v>
          </cell>
          <cell r="R256">
            <v>4112.0160116666666</v>
          </cell>
          <cell r="S256">
            <v>-30253.999240000005</v>
          </cell>
          <cell r="T256">
            <v>83541.236448333337</v>
          </cell>
          <cell r="Y256" t="str">
            <v>Jun</v>
          </cell>
          <cell r="Z256">
            <v>-86862.197183333337</v>
          </cell>
          <cell r="AA256">
            <v>83541.236448333337</v>
          </cell>
          <cell r="AB256">
            <v>23268.030233333335</v>
          </cell>
          <cell r="AD256">
            <v>19947.069498333334</v>
          </cell>
        </row>
        <row r="257">
          <cell r="C257" t="str">
            <v>Jul</v>
          </cell>
          <cell r="D257">
            <v>59362.172193333332</v>
          </cell>
          <cell r="E257">
            <v>65389.821248333341</v>
          </cell>
          <cell r="F257">
            <v>93838.148700000005</v>
          </cell>
          <cell r="G257">
            <v>36153.48298666667</v>
          </cell>
          <cell r="I257">
            <v>254743.62512833334</v>
          </cell>
          <cell r="O257" t="str">
            <v>Jul</v>
          </cell>
          <cell r="P257">
            <v>76260.61198833333</v>
          </cell>
          <cell r="Q257">
            <v>33496.682581666668</v>
          </cell>
          <cell r="R257">
            <v>-824.09997000000033</v>
          </cell>
          <cell r="S257">
            <v>-17223.362268333338</v>
          </cell>
          <cell r="T257">
            <v>91709.832331666665</v>
          </cell>
          <cell r="Y257" t="str">
            <v>Jul</v>
          </cell>
          <cell r="Z257">
            <v>-112290.76488666667</v>
          </cell>
          <cell r="AA257">
            <v>91709.832331666665</v>
          </cell>
          <cell r="AB257">
            <v>16903.020269999997</v>
          </cell>
          <cell r="AD257">
            <v>-3677.9122850000058</v>
          </cell>
        </row>
        <row r="258">
          <cell r="C258" t="str">
            <v>Ago</v>
          </cell>
          <cell r="D258">
            <v>56434.245640000001</v>
          </cell>
          <cell r="E258">
            <v>69540.038354999997</v>
          </cell>
          <cell r="F258">
            <v>101506.33681000001</v>
          </cell>
          <cell r="G258">
            <v>40789.878321666663</v>
          </cell>
          <cell r="I258">
            <v>268270.49912666669</v>
          </cell>
          <cell r="O258" t="str">
            <v>Ago</v>
          </cell>
          <cell r="P258">
            <v>95170.71348166668</v>
          </cell>
          <cell r="Q258">
            <v>34527.308375000001</v>
          </cell>
          <cell r="R258">
            <v>-7191.8696683333328</v>
          </cell>
          <cell r="S258">
            <v>9792.9037749999989</v>
          </cell>
          <cell r="T258">
            <v>132299.05596333335</v>
          </cell>
          <cell r="Y258" t="str">
            <v>Ago</v>
          </cell>
          <cell r="Z258">
            <v>-157826.24514666668</v>
          </cell>
          <cell r="AA258">
            <v>132299.05596333335</v>
          </cell>
          <cell r="AB258">
            <v>7216.666666666667</v>
          </cell>
          <cell r="AD258">
            <v>-18310.522516666668</v>
          </cell>
        </row>
        <row r="259">
          <cell r="C259" t="str">
            <v>Sep</v>
          </cell>
          <cell r="D259">
            <v>52616.053331666662</v>
          </cell>
          <cell r="E259">
            <v>74353.97954</v>
          </cell>
          <cell r="F259">
            <v>102401.84338333334</v>
          </cell>
          <cell r="G259">
            <v>43751.696980000001</v>
          </cell>
          <cell r="I259">
            <v>273123.57323499996</v>
          </cell>
          <cell r="O259" t="str">
            <v>Sep</v>
          </cell>
          <cell r="P259">
            <v>109634.292875</v>
          </cell>
          <cell r="Q259">
            <v>41253.781065000003</v>
          </cell>
          <cell r="R259">
            <v>-43261.611626666665</v>
          </cell>
          <cell r="S259">
            <v>9086.0464300000003</v>
          </cell>
          <cell r="T259">
            <v>116712.50874333334</v>
          </cell>
          <cell r="Y259" t="str">
            <v>Sep</v>
          </cell>
          <cell r="Z259">
            <v>-183936.51437666666</v>
          </cell>
          <cell r="AA259">
            <v>116712.50874333334</v>
          </cell>
          <cell r="AB259">
            <v>7950</v>
          </cell>
          <cell r="AD259">
            <v>-59274.005633333327</v>
          </cell>
        </row>
        <row r="260">
          <cell r="C260" t="str">
            <v>Oct</v>
          </cell>
          <cell r="D260">
            <v>48521.692751666669</v>
          </cell>
          <cell r="E260">
            <v>74668.632556666664</v>
          </cell>
          <cell r="F260">
            <v>108018.04339166667</v>
          </cell>
          <cell r="G260">
            <v>48727.61737166666</v>
          </cell>
          <cell r="I260">
            <v>279935.98607166664</v>
          </cell>
          <cell r="O260" t="str">
            <v>Oct</v>
          </cell>
          <cell r="P260">
            <v>130613.50224166666</v>
          </cell>
          <cell r="Q260">
            <v>49401.140378333337</v>
          </cell>
          <cell r="R260">
            <v>44973.751049999999</v>
          </cell>
          <cell r="S260">
            <v>-61334.373530000004</v>
          </cell>
          <cell r="T260">
            <v>163654.02014000001</v>
          </cell>
          <cell r="Y260" t="str">
            <v>Oct</v>
          </cell>
          <cell r="Z260">
            <v>-194298.62795166668</v>
          </cell>
          <cell r="AA260">
            <v>163654.02014000001</v>
          </cell>
          <cell r="AB260">
            <v>15800</v>
          </cell>
          <cell r="AD260">
            <v>-14844.607811666663</v>
          </cell>
        </row>
        <row r="261">
          <cell r="C261" t="str">
            <v>Nov</v>
          </cell>
          <cell r="D261">
            <v>41630.915591666664</v>
          </cell>
          <cell r="E261">
            <v>73858.784513333332</v>
          </cell>
          <cell r="F261">
            <v>116605.72360999999</v>
          </cell>
          <cell r="G261">
            <v>46793.827778333332</v>
          </cell>
          <cell r="I261">
            <v>278889.25149333332</v>
          </cell>
          <cell r="O261" t="str">
            <v>Nov</v>
          </cell>
          <cell r="P261">
            <v>155722.21115333334</v>
          </cell>
          <cell r="Q261">
            <v>53982.982596666669</v>
          </cell>
          <cell r="R261">
            <v>-40036.119319999991</v>
          </cell>
          <cell r="S261">
            <v>15956.107431666664</v>
          </cell>
          <cell r="T261">
            <v>185625.18186166664</v>
          </cell>
          <cell r="Y261" t="str">
            <v>Nov</v>
          </cell>
          <cell r="Z261">
            <v>-209936.46908666668</v>
          </cell>
          <cell r="AA261">
            <v>185625.18186166664</v>
          </cell>
          <cell r="AB261">
            <v>4083.3333333333335</v>
          </cell>
          <cell r="AD261">
            <v>-20227.953891666668</v>
          </cell>
        </row>
        <row r="262">
          <cell r="C262" t="str">
            <v>Dic</v>
          </cell>
          <cell r="D262">
            <v>44110.979834999998</v>
          </cell>
          <cell r="E262">
            <v>72722.831566666675</v>
          </cell>
          <cell r="F262">
            <v>128095.36996166669</v>
          </cell>
          <cell r="G262">
            <v>45680.598819999992</v>
          </cell>
          <cell r="I262">
            <v>290609.78018333332</v>
          </cell>
          <cell r="O262" t="str">
            <v>Dic</v>
          </cell>
          <cell r="P262">
            <v>219977.88587500001</v>
          </cell>
          <cell r="Q262">
            <v>75161.721594999995</v>
          </cell>
          <cell r="R262">
            <v>-36972.946053333326</v>
          </cell>
          <cell r="S262">
            <v>-1204.3734000000029</v>
          </cell>
          <cell r="T262">
            <v>256962.28801666666</v>
          </cell>
          <cell r="Y262" t="str">
            <v>Dic</v>
          </cell>
          <cell r="Z262">
            <v>-232255.82140666666</v>
          </cell>
          <cell r="AA262">
            <v>256962.28801666666</v>
          </cell>
          <cell r="AB262">
            <v>-22434.696899999999</v>
          </cell>
          <cell r="AD262">
            <v>2271.7697100000078</v>
          </cell>
        </row>
        <row r="263">
          <cell r="B263">
            <v>1995</v>
          </cell>
          <cell r="C263" t="str">
            <v>Ene</v>
          </cell>
          <cell r="D263">
            <v>46594.569128333329</v>
          </cell>
          <cell r="E263">
            <v>74311.091941666658</v>
          </cell>
          <cell r="F263">
            <v>133067.40552333332</v>
          </cell>
          <cell r="G263">
            <v>43075.169231666659</v>
          </cell>
          <cell r="I263">
            <v>297048.23582499998</v>
          </cell>
          <cell r="N263">
            <v>1995</v>
          </cell>
          <cell r="O263" t="str">
            <v>Ene</v>
          </cell>
          <cell r="P263">
            <v>234306.49730999998</v>
          </cell>
          <cell r="Q263">
            <v>75555.823528333334</v>
          </cell>
          <cell r="R263">
            <v>-33940.108138333322</v>
          </cell>
          <cell r="S263">
            <v>15971.469953217116</v>
          </cell>
          <cell r="T263">
            <v>291893.68265321711</v>
          </cell>
          <cell r="X263">
            <v>1995</v>
          </cell>
          <cell r="Y263" t="str">
            <v>Ene</v>
          </cell>
          <cell r="Z263">
            <v>-285668.39259999996</v>
          </cell>
          <cell r="AA263">
            <v>291893.68265321711</v>
          </cell>
          <cell r="AB263">
            <v>-8968.0302333333329</v>
          </cell>
          <cell r="AD263">
            <v>-2742.7401801161955</v>
          </cell>
        </row>
        <row r="264">
          <cell r="C264" t="str">
            <v>Feb</v>
          </cell>
          <cell r="D264">
            <v>45181.811353333331</v>
          </cell>
          <cell r="E264">
            <v>73839.004549999998</v>
          </cell>
          <cell r="F264">
            <v>132141.37830499999</v>
          </cell>
          <cell r="G264">
            <v>43940.734828333334</v>
          </cell>
          <cell r="I264">
            <v>295102.9290366667</v>
          </cell>
          <cell r="O264" t="str">
            <v>Feb</v>
          </cell>
          <cell r="P264">
            <v>232555.84289500001</v>
          </cell>
          <cell r="Q264">
            <v>59980.314923333332</v>
          </cell>
          <cell r="R264">
            <v>-23820.831203333324</v>
          </cell>
          <cell r="S264">
            <v>17687.671036832413</v>
          </cell>
          <cell r="T264">
            <v>286402.99765183241</v>
          </cell>
          <cell r="Y264" t="str">
            <v>Feb</v>
          </cell>
          <cell r="Z264">
            <v>-276374.99854999996</v>
          </cell>
          <cell r="AA264">
            <v>286402.99765183241</v>
          </cell>
          <cell r="AB264">
            <v>8581.9697666666671</v>
          </cell>
          <cell r="AD264">
            <v>18609.968868499087</v>
          </cell>
        </row>
        <row r="265">
          <cell r="C265" t="str">
            <v>Mar</v>
          </cell>
          <cell r="D265">
            <v>43358.896726666666</v>
          </cell>
          <cell r="E265">
            <v>72928.632433333332</v>
          </cell>
          <cell r="F265">
            <v>125852.31578833335</v>
          </cell>
          <cell r="G265">
            <v>53452.733808333323</v>
          </cell>
          <cell r="I265">
            <v>295592.57875666668</v>
          </cell>
          <cell r="O265" t="str">
            <v>Mar</v>
          </cell>
          <cell r="P265">
            <v>206857.66686166663</v>
          </cell>
          <cell r="Q265">
            <v>56729.641383333335</v>
          </cell>
          <cell r="R265">
            <v>27129.266516666674</v>
          </cell>
          <cell r="S265">
            <v>35292.60637873083</v>
          </cell>
          <cell r="T265">
            <v>326009.1811403975</v>
          </cell>
          <cell r="Y265" t="str">
            <v>Mar</v>
          </cell>
          <cell r="Z265">
            <v>-273488.12332166662</v>
          </cell>
          <cell r="AA265">
            <v>326009.1811403975</v>
          </cell>
          <cell r="AB265">
            <v>37231.969766666669</v>
          </cell>
          <cell r="AD265">
            <v>89753.027585397518</v>
          </cell>
        </row>
        <row r="266">
          <cell r="C266" t="str">
            <v>Abr</v>
          </cell>
          <cell r="D266">
            <v>46973.48002333333</v>
          </cell>
          <cell r="E266">
            <v>71373.097086666661</v>
          </cell>
          <cell r="F266">
            <v>120280.56668666667</v>
          </cell>
          <cell r="G266">
            <v>53362.460504999995</v>
          </cell>
          <cell r="I266">
            <v>291989.60430166667</v>
          </cell>
          <cell r="O266" t="str">
            <v>Abr</v>
          </cell>
          <cell r="P266">
            <v>187293.51474166664</v>
          </cell>
          <cell r="Q266">
            <v>63020.656968333329</v>
          </cell>
          <cell r="R266">
            <v>-19732.670474999988</v>
          </cell>
          <cell r="S266">
            <v>109186.36106986465</v>
          </cell>
          <cell r="T266">
            <v>339767.86230486468</v>
          </cell>
          <cell r="Y266" t="str">
            <v>Abr</v>
          </cell>
          <cell r="Z266">
            <v>-267673.15177999996</v>
          </cell>
          <cell r="AA266">
            <v>339767.86230486468</v>
          </cell>
          <cell r="AB266">
            <v>30798.636433333333</v>
          </cell>
          <cell r="AD266">
            <v>102893.346958198</v>
          </cell>
        </row>
        <row r="267">
          <cell r="C267" t="str">
            <v>May</v>
          </cell>
          <cell r="D267">
            <v>43267.739005000003</v>
          </cell>
          <cell r="E267">
            <v>69694.730404999995</v>
          </cell>
          <cell r="F267">
            <v>112962.51532666666</v>
          </cell>
          <cell r="G267">
            <v>61618.130763333327</v>
          </cell>
          <cell r="I267">
            <v>287543.11550000001</v>
          </cell>
          <cell r="O267" t="str">
            <v>May</v>
          </cell>
          <cell r="P267">
            <v>161126.63031666668</v>
          </cell>
          <cell r="Q267">
            <v>59180.470725000014</v>
          </cell>
          <cell r="R267">
            <v>62691.336224999999</v>
          </cell>
          <cell r="S267">
            <v>56784.213961884605</v>
          </cell>
          <cell r="T267">
            <v>339782.65122855123</v>
          </cell>
          <cell r="Y267" t="str">
            <v>May</v>
          </cell>
          <cell r="Z267">
            <v>-258152.11152833331</v>
          </cell>
          <cell r="AA267">
            <v>339782.65122855123</v>
          </cell>
          <cell r="AB267">
            <v>49981.969766666669</v>
          </cell>
          <cell r="AD267">
            <v>131612.5094668846</v>
          </cell>
        </row>
        <row r="268">
          <cell r="C268" t="str">
            <v>Jun</v>
          </cell>
          <cell r="D268">
            <v>39373.834583333337</v>
          </cell>
          <cell r="E268">
            <v>72466.796924999988</v>
          </cell>
          <cell r="F268">
            <v>103030.90849499998</v>
          </cell>
          <cell r="G268">
            <v>70158.668636666654</v>
          </cell>
          <cell r="I268">
            <v>285030.20864000003</v>
          </cell>
          <cell r="O268" t="str">
            <v>Jun</v>
          </cell>
          <cell r="P268">
            <v>102129.52637166665</v>
          </cell>
          <cell r="Q268">
            <v>42999.293538333332</v>
          </cell>
          <cell r="R268">
            <v>47973.24556499999</v>
          </cell>
          <cell r="S268">
            <v>66676.811824319084</v>
          </cell>
          <cell r="T268">
            <v>259778.87729931905</v>
          </cell>
          <cell r="Y268" t="str">
            <v>Jun</v>
          </cell>
          <cell r="Z268">
            <v>-228925.48663333329</v>
          </cell>
          <cell r="AA268">
            <v>259778.87729931905</v>
          </cell>
          <cell r="AB268">
            <v>61116.666666666664</v>
          </cell>
          <cell r="AD268">
            <v>91970.057332652403</v>
          </cell>
        </row>
        <row r="269">
          <cell r="C269" t="str">
            <v>Jul</v>
          </cell>
          <cell r="D269">
            <v>35860.512776666663</v>
          </cell>
          <cell r="E269">
            <v>71895.775574999992</v>
          </cell>
          <cell r="F269">
            <v>99516.816006666675</v>
          </cell>
          <cell r="G269">
            <v>81662.032103333346</v>
          </cell>
          <cell r="I269">
            <v>288935.13646166667</v>
          </cell>
          <cell r="O269" t="str">
            <v>Jul</v>
          </cell>
          <cell r="P269">
            <v>85687.744896666671</v>
          </cell>
          <cell r="Q269">
            <v>53503.768298333336</v>
          </cell>
          <cell r="R269">
            <v>45534.662236666663</v>
          </cell>
          <cell r="S269">
            <v>56806.725030134112</v>
          </cell>
          <cell r="T269">
            <v>241532.90046180077</v>
          </cell>
          <cell r="Y269" t="str">
            <v>Jul</v>
          </cell>
          <cell r="Z269">
            <v>-178703.83728166667</v>
          </cell>
          <cell r="AA269">
            <v>241532.90046180077</v>
          </cell>
          <cell r="AB269">
            <v>35916.666666666664</v>
          </cell>
          <cell r="AD269">
            <v>98745.729846800779</v>
          </cell>
        </row>
        <row r="270">
          <cell r="C270" t="str">
            <v>Ago</v>
          </cell>
          <cell r="D270">
            <v>34223.35472333333</v>
          </cell>
          <cell r="E270">
            <v>68459.423858333335</v>
          </cell>
          <cell r="F270">
            <v>98383.858888333329</v>
          </cell>
          <cell r="G270">
            <v>83508.550133333352</v>
          </cell>
          <cell r="I270">
            <v>284575.18760333332</v>
          </cell>
          <cell r="O270" t="str">
            <v>Ago</v>
          </cell>
          <cell r="P270">
            <v>88404.334628333338</v>
          </cell>
          <cell r="Q270">
            <v>47915.581600000005</v>
          </cell>
          <cell r="R270">
            <v>39572.708684999998</v>
          </cell>
          <cell r="S270">
            <v>38089.487081194202</v>
          </cell>
          <cell r="T270">
            <v>213982.11199452751</v>
          </cell>
          <cell r="Y270" t="str">
            <v>Ago</v>
          </cell>
          <cell r="Z270">
            <v>-179333.90474333335</v>
          </cell>
          <cell r="AA270">
            <v>213982.11199452751</v>
          </cell>
          <cell r="AB270">
            <v>-1633.3333333333333</v>
          </cell>
          <cell r="AD270">
            <v>33014.873917860874</v>
          </cell>
        </row>
        <row r="271">
          <cell r="C271" t="str">
            <v>Sep</v>
          </cell>
          <cell r="D271">
            <v>41529.206971666667</v>
          </cell>
          <cell r="E271">
            <v>67200.332143333333</v>
          </cell>
          <cell r="F271">
            <v>94140.631163333324</v>
          </cell>
          <cell r="G271">
            <v>74380.776320000019</v>
          </cell>
          <cell r="I271">
            <v>277250.94659833336</v>
          </cell>
          <cell r="O271" t="str">
            <v>Sep</v>
          </cell>
          <cell r="P271">
            <v>74997.480360000001</v>
          </cell>
          <cell r="Q271">
            <v>48960.305901666667</v>
          </cell>
          <cell r="R271">
            <v>31071.557433333332</v>
          </cell>
          <cell r="S271">
            <v>34986.697380157733</v>
          </cell>
          <cell r="T271">
            <v>190016.04107515773</v>
          </cell>
          <cell r="Y271" t="str">
            <v>Sep</v>
          </cell>
          <cell r="Z271">
            <v>-169315.86543833333</v>
          </cell>
          <cell r="AA271">
            <v>190016.04107515773</v>
          </cell>
          <cell r="AB271">
            <v>-18850</v>
          </cell>
          <cell r="AD271">
            <v>1850.1756368243903</v>
          </cell>
        </row>
        <row r="272">
          <cell r="C272" t="str">
            <v>Oct</v>
          </cell>
          <cell r="D272">
            <v>34370.955369999996</v>
          </cell>
          <cell r="E272">
            <v>65924.47546833333</v>
          </cell>
          <cell r="F272">
            <v>98272.167576666674</v>
          </cell>
          <cell r="G272">
            <v>78176.266288333354</v>
          </cell>
          <cell r="I272">
            <v>276743.8647033333</v>
          </cell>
          <cell r="O272" t="str">
            <v>Oct</v>
          </cell>
          <cell r="P272">
            <v>80306.610191666667</v>
          </cell>
          <cell r="Q272">
            <v>39362.031298333335</v>
          </cell>
          <cell r="R272">
            <v>29474.856035000001</v>
          </cell>
          <cell r="S272">
            <v>24605.239065106536</v>
          </cell>
          <cell r="T272">
            <v>173748.73659010654</v>
          </cell>
          <cell r="Y272" t="str">
            <v>Oct</v>
          </cell>
          <cell r="Z272">
            <v>-161257.66357</v>
          </cell>
          <cell r="AA272">
            <v>173748.73659010654</v>
          </cell>
          <cell r="AB272">
            <v>-21963.684829999998</v>
          </cell>
          <cell r="AD272">
            <v>-9472.6118098934603</v>
          </cell>
        </row>
        <row r="273">
          <cell r="C273" t="str">
            <v>Nov</v>
          </cell>
          <cell r="D273">
            <v>34110.993686666661</v>
          </cell>
          <cell r="E273">
            <v>63955.253304999998</v>
          </cell>
          <cell r="F273">
            <v>105983.657445</v>
          </cell>
          <cell r="G273">
            <v>79552.376056666675</v>
          </cell>
          <cell r="I273">
            <v>283602.2804933333</v>
          </cell>
          <cell r="O273" t="str">
            <v>Nov</v>
          </cell>
          <cell r="P273">
            <v>69774.446546666659</v>
          </cell>
          <cell r="Q273">
            <v>39388.332619999994</v>
          </cell>
          <cell r="R273">
            <v>39536.161889999996</v>
          </cell>
          <cell r="S273">
            <v>31657.07105446963</v>
          </cell>
          <cell r="T273">
            <v>180356.01211113631</v>
          </cell>
          <cell r="Y273" t="str">
            <v>Nov</v>
          </cell>
          <cell r="Z273">
            <v>-187552.624235</v>
          </cell>
          <cell r="AA273">
            <v>180356.01211113631</v>
          </cell>
          <cell r="AB273">
            <v>-32753.148740000001</v>
          </cell>
          <cell r="AD273">
            <v>-39949.76086386371</v>
          </cell>
        </row>
        <row r="274">
          <cell r="C274" t="str">
            <v>Dic</v>
          </cell>
          <cell r="D274">
            <v>34466.542464999991</v>
          </cell>
          <cell r="E274">
            <v>58722.495736666664</v>
          </cell>
          <cell r="F274">
            <v>107608.40298166667</v>
          </cell>
          <cell r="G274">
            <v>74132.218721666679</v>
          </cell>
          <cell r="I274">
            <v>274929.65990500001</v>
          </cell>
          <cell r="O274" t="str">
            <v>Dic</v>
          </cell>
          <cell r="P274">
            <v>55789.135106666676</v>
          </cell>
          <cell r="Q274">
            <v>35756.202391666673</v>
          </cell>
          <cell r="R274">
            <v>60276.617993333341</v>
          </cell>
          <cell r="S274">
            <v>37119.058885698956</v>
          </cell>
          <cell r="T274">
            <v>188941.01437736562</v>
          </cell>
          <cell r="Y274" t="str">
            <v>Dic</v>
          </cell>
          <cell r="Z274">
            <v>-166615.58149333336</v>
          </cell>
          <cell r="AA274">
            <v>188941.01437736562</v>
          </cell>
          <cell r="AB274">
            <v>-60625.274566666667</v>
          </cell>
          <cell r="AD274">
            <v>-38299.841682634382</v>
          </cell>
        </row>
        <row r="275">
          <cell r="B275">
            <v>1996</v>
          </cell>
          <cell r="C275" t="str">
            <v>Ene</v>
          </cell>
          <cell r="D275">
            <v>34844.573451666663</v>
          </cell>
          <cell r="E275">
            <v>56989.373513333325</v>
          </cell>
          <cell r="F275">
            <v>108423.53987500002</v>
          </cell>
          <cell r="G275">
            <v>61141.686106666668</v>
          </cell>
          <cell r="I275">
            <v>261399.17294666669</v>
          </cell>
          <cell r="N275">
            <v>1996</v>
          </cell>
          <cell r="O275" t="str">
            <v>Ene</v>
          </cell>
          <cell r="P275">
            <v>41580.874805000007</v>
          </cell>
          <cell r="Q275">
            <v>25556.522741666664</v>
          </cell>
          <cell r="R275">
            <v>62006.226469999994</v>
          </cell>
          <cell r="S275">
            <v>38384.639720000123</v>
          </cell>
          <cell r="T275">
            <v>167528.26373666679</v>
          </cell>
          <cell r="X275">
            <v>1996</v>
          </cell>
          <cell r="Y275" t="str">
            <v>Ene</v>
          </cell>
          <cell r="Z275">
            <v>-176939.54973</v>
          </cell>
          <cell r="AA275">
            <v>167528.26373666679</v>
          </cell>
          <cell r="AB275">
            <v>-53921.339238333334</v>
          </cell>
          <cell r="AD275">
            <v>-63332.625231666541</v>
          </cell>
        </row>
        <row r="276">
          <cell r="C276" t="str">
            <v>Feb</v>
          </cell>
          <cell r="D276">
            <v>34689.694721666659</v>
          </cell>
          <cell r="E276">
            <v>54168.777054999991</v>
          </cell>
          <cell r="F276">
            <v>108454.95617999999</v>
          </cell>
          <cell r="G276">
            <v>56312.797366666673</v>
          </cell>
          <cell r="I276">
            <v>253626.22532333332</v>
          </cell>
          <cell r="O276" t="str">
            <v>Feb</v>
          </cell>
          <cell r="P276">
            <v>-48.03182500000063</v>
          </cell>
          <cell r="Q276">
            <v>51119.598476666666</v>
          </cell>
          <cell r="R276">
            <v>65942.91998666666</v>
          </cell>
          <cell r="S276">
            <v>67761.811563658077</v>
          </cell>
          <cell r="T276">
            <v>184776.29820199139</v>
          </cell>
          <cell r="Y276" t="str">
            <v>Feb</v>
          </cell>
          <cell r="Z276">
            <v>-196460.44842</v>
          </cell>
          <cell r="AA276">
            <v>184776.29820199139</v>
          </cell>
          <cell r="AB276">
            <v>-33339.118364999995</v>
          </cell>
          <cell r="AD276">
            <v>-45023.268583008583</v>
          </cell>
        </row>
        <row r="277">
          <cell r="C277" t="str">
            <v>Mar</v>
          </cell>
          <cell r="D277">
            <v>25116.311400000002</v>
          </cell>
          <cell r="E277">
            <v>49235.61065000001</v>
          </cell>
          <cell r="F277">
            <v>112280.41220166667</v>
          </cell>
          <cell r="G277">
            <v>51199.889945000003</v>
          </cell>
          <cell r="I277">
            <v>237832.22419666665</v>
          </cell>
          <cell r="O277" t="str">
            <v>Mar</v>
          </cell>
          <cell r="P277">
            <v>-8279.223123333335</v>
          </cell>
          <cell r="Q277">
            <v>66670.061649999989</v>
          </cell>
          <cell r="R277">
            <v>74114.32153666667</v>
          </cell>
          <cell r="S277">
            <v>80380.823656129476</v>
          </cell>
          <cell r="T277">
            <v>212885.98371946279</v>
          </cell>
          <cell r="Y277" t="str">
            <v>Mar</v>
          </cell>
          <cell r="Z277">
            <v>-231923.74480999997</v>
          </cell>
          <cell r="AA277">
            <v>212885.98371946279</v>
          </cell>
          <cell r="AB277">
            <v>-47404.351296666668</v>
          </cell>
          <cell r="AD277">
            <v>-66442.112387203859</v>
          </cell>
        </row>
        <row r="278">
          <cell r="C278" t="str">
            <v>Abr</v>
          </cell>
          <cell r="D278">
            <v>24456.871618333334</v>
          </cell>
          <cell r="E278">
            <v>48182.325985000003</v>
          </cell>
          <cell r="F278">
            <v>112608.25864166667</v>
          </cell>
          <cell r="G278">
            <v>49144.719568333334</v>
          </cell>
          <cell r="I278">
            <v>234392.17581333336</v>
          </cell>
          <cell r="O278" t="str">
            <v>Abr</v>
          </cell>
          <cell r="P278">
            <v>-9376.2494366666633</v>
          </cell>
          <cell r="Q278">
            <v>68098.178189999991</v>
          </cell>
          <cell r="R278">
            <v>65628.423061666675</v>
          </cell>
          <cell r="S278">
            <v>95914.958443380179</v>
          </cell>
          <cell r="T278">
            <v>220265.31025838014</v>
          </cell>
          <cell r="Y278" t="str">
            <v>Abr</v>
          </cell>
          <cell r="Z278">
            <v>-239127.27791833333</v>
          </cell>
          <cell r="AA278">
            <v>220265.31025838014</v>
          </cell>
          <cell r="AB278">
            <v>-56330.334265000005</v>
          </cell>
          <cell r="AD278">
            <v>-75192.301924953179</v>
          </cell>
        </row>
        <row r="279">
          <cell r="C279" t="str">
            <v>May</v>
          </cell>
          <cell r="D279">
            <v>25409.942503333335</v>
          </cell>
          <cell r="E279">
            <v>48965.060149999998</v>
          </cell>
          <cell r="F279">
            <v>120986.30055666667</v>
          </cell>
          <cell r="G279">
            <v>43391.449593333331</v>
          </cell>
          <cell r="I279">
            <v>238752.75280333334</v>
          </cell>
          <cell r="O279" t="str">
            <v>May</v>
          </cell>
          <cell r="P279">
            <v>-6516.4327283333332</v>
          </cell>
          <cell r="Q279">
            <v>84074.385720000006</v>
          </cell>
          <cell r="R279">
            <v>64039.480255000009</v>
          </cell>
          <cell r="S279">
            <v>71207.32573699714</v>
          </cell>
          <cell r="T279">
            <v>212804.75898366378</v>
          </cell>
          <cell r="Y279" t="str">
            <v>May</v>
          </cell>
          <cell r="Z279">
            <v>-218726.87067833333</v>
          </cell>
          <cell r="AA279">
            <v>212804.75898366378</v>
          </cell>
          <cell r="AB279">
            <v>-53417.156603333337</v>
          </cell>
          <cell r="AD279">
            <v>-59339.268298002862</v>
          </cell>
        </row>
        <row r="280">
          <cell r="C280" t="str">
            <v>Jun</v>
          </cell>
          <cell r="D280">
            <v>25136.471313333339</v>
          </cell>
          <cell r="E280">
            <v>47501.978901666669</v>
          </cell>
          <cell r="F280">
            <v>129055.03243166667</v>
          </cell>
          <cell r="G280">
            <v>40511.880411666665</v>
          </cell>
          <cell r="I280">
            <v>242205.36305833329</v>
          </cell>
          <cell r="O280" t="str">
            <v>Jun</v>
          </cell>
          <cell r="P280">
            <v>9991.4435833333337</v>
          </cell>
          <cell r="Q280">
            <v>81443.784386666666</v>
          </cell>
          <cell r="R280">
            <v>72516.173655000006</v>
          </cell>
          <cell r="S280">
            <v>71272.696914999993</v>
          </cell>
          <cell r="T280">
            <v>235224.09854000001</v>
          </cell>
          <cell r="Y280" t="str">
            <v>Jun</v>
          </cell>
          <cell r="Z280">
            <v>-278416.22840000002</v>
          </cell>
          <cell r="AA280">
            <v>235224.09854000001</v>
          </cell>
          <cell r="AB280">
            <v>-17349.807978333334</v>
          </cell>
          <cell r="AD280">
            <v>-60541.937838333331</v>
          </cell>
        </row>
        <row r="281">
          <cell r="C281" t="str">
            <v>Jul</v>
          </cell>
          <cell r="D281">
            <v>24691.592408333334</v>
          </cell>
          <cell r="E281">
            <v>48005.579523333327</v>
          </cell>
          <cell r="F281">
            <v>140738.67572999999</v>
          </cell>
          <cell r="G281">
            <v>47684.274143333336</v>
          </cell>
          <cell r="I281">
            <v>261120.121805</v>
          </cell>
          <cell r="O281" t="str">
            <v>Jul</v>
          </cell>
          <cell r="P281">
            <v>38233.271061666666</v>
          </cell>
          <cell r="Q281">
            <v>82935.366916666666</v>
          </cell>
          <cell r="R281">
            <v>74129.990276666664</v>
          </cell>
          <cell r="S281">
            <v>87541.816590000002</v>
          </cell>
          <cell r="T281">
            <v>282840.44484499999</v>
          </cell>
          <cell r="Y281" t="str">
            <v>Jul</v>
          </cell>
          <cell r="Z281">
            <v>-305273.28091166663</v>
          </cell>
          <cell r="AA281">
            <v>282840.44484499999</v>
          </cell>
          <cell r="AB281">
            <v>759.55288833333418</v>
          </cell>
          <cell r="AD281">
            <v>-21673.283178333339</v>
          </cell>
        </row>
        <row r="282">
          <cell r="C282" t="str">
            <v>Ago</v>
          </cell>
          <cell r="D282">
            <v>23093.343966666667</v>
          </cell>
          <cell r="E282">
            <v>49924.149059999996</v>
          </cell>
          <cell r="F282">
            <v>150495.51800166667</v>
          </cell>
          <cell r="G282">
            <v>49335.295606666659</v>
          </cell>
          <cell r="I282">
            <v>272848.30663499999</v>
          </cell>
          <cell r="O282" t="str">
            <v>Ago</v>
          </cell>
          <cell r="P282">
            <v>59464.168658333336</v>
          </cell>
          <cell r="Q282">
            <v>148111.950105</v>
          </cell>
          <cell r="R282">
            <v>75443.203680000006</v>
          </cell>
          <cell r="S282">
            <v>42542.372248333333</v>
          </cell>
          <cell r="T282">
            <v>325561.69469166663</v>
          </cell>
          <cell r="Y282" t="str">
            <v>Ago</v>
          </cell>
          <cell r="Z282">
            <v>-319500.03387999994</v>
          </cell>
          <cell r="AA282">
            <v>325561.69469166663</v>
          </cell>
          <cell r="AB282">
            <v>1812.5937750000023</v>
          </cell>
          <cell r="AD282">
            <v>7874.2545866666669</v>
          </cell>
        </row>
        <row r="283">
          <cell r="C283" t="str">
            <v>Sep</v>
          </cell>
          <cell r="D283">
            <v>21453.520793333333</v>
          </cell>
          <cell r="E283">
            <v>49983.616286666664</v>
          </cell>
          <cell r="F283">
            <v>154268.32320166667</v>
          </cell>
          <cell r="G283">
            <v>54880.221976666675</v>
          </cell>
          <cell r="I283">
            <v>280585.68225833337</v>
          </cell>
          <cell r="O283" t="str">
            <v>Sep</v>
          </cell>
          <cell r="P283">
            <v>100615.12422499999</v>
          </cell>
          <cell r="Q283">
            <v>133593.17721666666</v>
          </cell>
          <cell r="R283">
            <v>72425.332181666672</v>
          </cell>
          <cell r="S283">
            <v>55896.621465000011</v>
          </cell>
          <cell r="T283">
            <v>362530.25508833333</v>
          </cell>
          <cell r="Y283" t="str">
            <v>Sep</v>
          </cell>
          <cell r="Z283">
            <v>-336415.74398000003</v>
          </cell>
          <cell r="AA283">
            <v>362530.25508833333</v>
          </cell>
          <cell r="AB283">
            <v>1916.8814033333347</v>
          </cell>
          <cell r="AD283">
            <v>28031.392511666665</v>
          </cell>
        </row>
        <row r="284">
          <cell r="C284" t="str">
            <v>Oct</v>
          </cell>
          <cell r="D284">
            <v>19924.915714999999</v>
          </cell>
          <cell r="E284">
            <v>50936.281976666673</v>
          </cell>
          <cell r="F284">
            <v>169803.56778000001</v>
          </cell>
          <cell r="G284">
            <v>55315.211055</v>
          </cell>
          <cell r="I284">
            <v>295979.97652666672</v>
          </cell>
          <cell r="O284" t="str">
            <v>Oct</v>
          </cell>
          <cell r="P284">
            <v>132076.69024666667</v>
          </cell>
          <cell r="Q284">
            <v>144445.68600833334</v>
          </cell>
          <cell r="R284">
            <v>74036.618805000006</v>
          </cell>
          <cell r="S284">
            <v>61105.214890000003</v>
          </cell>
          <cell r="T284">
            <v>411664.20994999999</v>
          </cell>
          <cell r="Y284" t="str">
            <v>Oct</v>
          </cell>
          <cell r="Z284">
            <v>-372547.33006499993</v>
          </cell>
          <cell r="AA284">
            <v>411664.20994999999</v>
          </cell>
          <cell r="AB284">
            <v>17145.089113333332</v>
          </cell>
          <cell r="AD284">
            <v>56261.968998333345</v>
          </cell>
        </row>
        <row r="285">
          <cell r="C285" t="str">
            <v>Nov</v>
          </cell>
          <cell r="D285">
            <v>17286.553488333335</v>
          </cell>
          <cell r="E285">
            <v>55994.625650000002</v>
          </cell>
          <cell r="F285">
            <v>164378.24958</v>
          </cell>
          <cell r="G285">
            <v>53602.809803333337</v>
          </cell>
          <cell r="I285">
            <v>291262.23852166667</v>
          </cell>
          <cell r="O285" t="str">
            <v>Nov</v>
          </cell>
          <cell r="P285">
            <v>160341.35396333333</v>
          </cell>
          <cell r="Q285">
            <v>143936.53824999998</v>
          </cell>
          <cell r="R285">
            <v>65307.85599833334</v>
          </cell>
          <cell r="S285">
            <v>69868.09497333334</v>
          </cell>
          <cell r="T285">
            <v>439453.84318499995</v>
          </cell>
          <cell r="Y285" t="str">
            <v>Nov</v>
          </cell>
          <cell r="Z285">
            <v>-388523.99101</v>
          </cell>
          <cell r="AA285">
            <v>439453.84318499995</v>
          </cell>
          <cell r="AB285">
            <v>24858.700655000004</v>
          </cell>
          <cell r="AD285">
            <v>75788.552830000001</v>
          </cell>
        </row>
        <row r="286">
          <cell r="C286" t="str">
            <v>Dic</v>
          </cell>
          <cell r="D286">
            <v>17164.574243333333</v>
          </cell>
          <cell r="E286">
            <v>59259.661918333331</v>
          </cell>
          <cell r="F286">
            <v>160915.71916999997</v>
          </cell>
          <cell r="G286">
            <v>57028.318348333327</v>
          </cell>
          <cell r="I286">
            <v>294368.27368000004</v>
          </cell>
          <cell r="O286" t="str">
            <v>Dic</v>
          </cell>
          <cell r="P286">
            <v>322578.78442833334</v>
          </cell>
          <cell r="Q286">
            <v>194082.96588499998</v>
          </cell>
          <cell r="R286">
            <v>78251.965351666673</v>
          </cell>
          <cell r="S286">
            <v>98399.398513333334</v>
          </cell>
          <cell r="T286">
            <v>693313.11417833332</v>
          </cell>
          <cell r="Y286" t="str">
            <v>Dic</v>
          </cell>
          <cell r="Z286">
            <v>-386494.05327000003</v>
          </cell>
          <cell r="AA286">
            <v>693313.11417833332</v>
          </cell>
          <cell r="AB286">
            <v>15748.736275000001</v>
          </cell>
          <cell r="AD286">
            <v>322567.79718333337</v>
          </cell>
        </row>
        <row r="287">
          <cell r="B287" t="str">
            <v>1997 (p)</v>
          </cell>
          <cell r="C287" t="str">
            <v>Ene</v>
          </cell>
          <cell r="D287">
            <v>17369.346501666667</v>
          </cell>
          <cell r="E287">
            <v>59366.101961666667</v>
          </cell>
          <cell r="F287">
            <v>160314.88017499997</v>
          </cell>
          <cell r="G287">
            <v>51591.897044999998</v>
          </cell>
          <cell r="I287">
            <v>288642.22568333329</v>
          </cell>
          <cell r="N287" t="str">
            <v>1997 (p)</v>
          </cell>
          <cell r="O287" t="str">
            <v>Ene</v>
          </cell>
          <cell r="P287">
            <v>333060.40964166663</v>
          </cell>
          <cell r="Q287">
            <v>192514.9504</v>
          </cell>
          <cell r="R287">
            <v>72881.32551166667</v>
          </cell>
          <cell r="S287">
            <v>96914.935355000009</v>
          </cell>
          <cell r="T287">
            <v>695371.62090833334</v>
          </cell>
          <cell r="X287" t="str">
            <v>1997 (p)</v>
          </cell>
          <cell r="Y287" t="str">
            <v>Ene</v>
          </cell>
          <cell r="Z287">
            <v>-382320.53570166667</v>
          </cell>
          <cell r="AA287">
            <v>695371.62090833334</v>
          </cell>
          <cell r="AB287">
            <v>-12815.343706666667</v>
          </cell>
          <cell r="AD287">
            <v>300235.7415</v>
          </cell>
        </row>
        <row r="288">
          <cell r="C288" t="str">
            <v>Feb</v>
          </cell>
          <cell r="D288">
            <v>19126.598385000001</v>
          </cell>
          <cell r="E288">
            <v>58608.376793333337</v>
          </cell>
          <cell r="F288">
            <v>160824.33943166665</v>
          </cell>
          <cell r="G288">
            <v>52222.233586666669</v>
          </cell>
          <cell r="I288">
            <v>290781.5481966667</v>
          </cell>
          <cell r="O288" t="str">
            <v>Feb</v>
          </cell>
          <cell r="P288">
            <v>334953.85218833335</v>
          </cell>
          <cell r="Q288">
            <v>137797.08755333332</v>
          </cell>
          <cell r="R288">
            <v>80091.859766666676</v>
          </cell>
          <cell r="S288">
            <v>150305.42429166666</v>
          </cell>
          <cell r="T288">
            <v>703148.22379999992</v>
          </cell>
          <cell r="Y288" t="str">
            <v>Feb</v>
          </cell>
          <cell r="Z288">
            <v>-396276.964095</v>
          </cell>
          <cell r="AA288">
            <v>703148.22379999992</v>
          </cell>
          <cell r="AB288">
            <v>-13848.536771666666</v>
          </cell>
          <cell r="AD288">
            <v>293022.72293333337</v>
          </cell>
        </row>
        <row r="289">
          <cell r="C289" t="str">
            <v>Mar</v>
          </cell>
          <cell r="D289">
            <v>20773.558845</v>
          </cell>
          <cell r="E289">
            <v>58822.166751666664</v>
          </cell>
          <cell r="F289">
            <v>166136.49071833334</v>
          </cell>
          <cell r="G289">
            <v>50736.144975000003</v>
          </cell>
          <cell r="I289">
            <v>296468.36128999997</v>
          </cell>
          <cell r="O289" t="str">
            <v>Mar</v>
          </cell>
          <cell r="P289">
            <v>329336.58408166666</v>
          </cell>
          <cell r="Q289">
            <v>149837.39120666668</v>
          </cell>
          <cell r="R289">
            <v>73828.850710000013</v>
          </cell>
          <cell r="S289">
            <v>155191.60296333334</v>
          </cell>
          <cell r="T289">
            <v>708194.42896166665</v>
          </cell>
          <cell r="Y289" t="str">
            <v>Mar</v>
          </cell>
          <cell r="Z289">
            <v>-387915.61631666665</v>
          </cell>
          <cell r="AA289">
            <v>708194.42896166665</v>
          </cell>
          <cell r="AB289">
            <v>-12695.542545000002</v>
          </cell>
          <cell r="AD289">
            <v>307583.27010000002</v>
          </cell>
        </row>
        <row r="290">
          <cell r="C290" t="str">
            <v>Abr</v>
          </cell>
          <cell r="D290">
            <v>22397.140455000001</v>
          </cell>
          <cell r="E290">
            <v>59327.781360000001</v>
          </cell>
          <cell r="F290">
            <v>167915.64908</v>
          </cell>
          <cell r="G290">
            <v>46586.381123333333</v>
          </cell>
          <cell r="I290">
            <v>296226.95201833331</v>
          </cell>
          <cell r="O290" t="str">
            <v>Abr</v>
          </cell>
          <cell r="P290">
            <v>320233.27594333334</v>
          </cell>
          <cell r="Q290">
            <v>155148.80483000001</v>
          </cell>
          <cell r="R290">
            <v>68160.643733333331</v>
          </cell>
          <cell r="S290">
            <v>153032.23968333335</v>
          </cell>
          <cell r="T290">
            <v>696574.96418999997</v>
          </cell>
          <cell r="Y290" t="str">
            <v>Abr</v>
          </cell>
          <cell r="Z290">
            <v>-383196.30323833338</v>
          </cell>
          <cell r="AA290">
            <v>696574.96418999997</v>
          </cell>
          <cell r="AB290">
            <v>-20586.358793333337</v>
          </cell>
          <cell r="AD290">
            <v>292792.3021583333</v>
          </cell>
        </row>
        <row r="291">
          <cell r="C291" t="str">
            <v>May</v>
          </cell>
          <cell r="D291">
            <v>23992.724683333334</v>
          </cell>
          <cell r="E291">
            <v>53154.152848333331</v>
          </cell>
          <cell r="F291">
            <v>170506.55379000001</v>
          </cell>
          <cell r="G291">
            <v>48679.98324833333</v>
          </cell>
          <cell r="I291">
            <v>296333.41457000002</v>
          </cell>
          <cell r="O291" t="str">
            <v>May</v>
          </cell>
          <cell r="P291">
            <v>327639.76962166664</v>
          </cell>
          <cell r="Q291">
            <v>150650.03337666669</v>
          </cell>
          <cell r="R291">
            <v>67206.146701666672</v>
          </cell>
          <cell r="S291">
            <v>144523.19886833333</v>
          </cell>
          <cell r="T291">
            <v>690019.14856833336</v>
          </cell>
          <cell r="Y291" t="str">
            <v>May</v>
          </cell>
          <cell r="Z291">
            <v>-376380.47557666665</v>
          </cell>
          <cell r="AA291">
            <v>690019.14856833336</v>
          </cell>
          <cell r="AB291">
            <v>-6617.8703166666646</v>
          </cell>
          <cell r="AD291">
            <v>307020.80267499998</v>
          </cell>
        </row>
        <row r="292">
          <cell r="C292" t="str">
            <v>Jun</v>
          </cell>
          <cell r="D292">
            <v>23726.924110000004</v>
          </cell>
          <cell r="E292">
            <v>49902.066115000001</v>
          </cell>
          <cell r="F292">
            <v>170935.71842166668</v>
          </cell>
          <cell r="G292">
            <v>55071.430151666667</v>
          </cell>
          <cell r="I292">
            <v>299636.1387983333</v>
          </cell>
          <cell r="O292" t="str">
            <v>Jun</v>
          </cell>
          <cell r="P292">
            <v>165271.41659833334</v>
          </cell>
          <cell r="Q292">
            <v>99983.112240000002</v>
          </cell>
          <cell r="R292">
            <v>39966.641853333342</v>
          </cell>
          <cell r="S292">
            <v>121503.44558833334</v>
          </cell>
          <cell r="T292">
            <v>426724.61628000002</v>
          </cell>
          <cell r="Y292" t="str">
            <v>Jun</v>
          </cell>
          <cell r="Z292">
            <v>-358267.9515266667</v>
          </cell>
          <cell r="AA292">
            <v>426724.61628000002</v>
          </cell>
          <cell r="AB292">
            <v>-6034.7962766666678</v>
          </cell>
          <cell r="AD292">
            <v>62421.868476666663</v>
          </cell>
        </row>
        <row r="293">
          <cell r="C293" t="str">
            <v>Jul</v>
          </cell>
          <cell r="D293">
            <v>22902.092268333334</v>
          </cell>
          <cell r="E293">
            <v>49629.36243666667</v>
          </cell>
          <cell r="F293">
            <v>165974.272195</v>
          </cell>
          <cell r="G293">
            <v>62920.324698333337</v>
          </cell>
          <cell r="I293">
            <v>301426.05159833335</v>
          </cell>
          <cell r="O293" t="str">
            <v>Jul</v>
          </cell>
          <cell r="P293">
            <v>151680.86584833334</v>
          </cell>
          <cell r="Q293">
            <v>134002.79079333335</v>
          </cell>
          <cell r="R293">
            <v>48866.928504999996</v>
          </cell>
          <cell r="S293">
            <v>79155.266216666685</v>
          </cell>
          <cell r="T293">
            <v>413705.85136333335</v>
          </cell>
          <cell r="Y293" t="str">
            <v>Jul</v>
          </cell>
          <cell r="Z293">
            <v>-339834.17495499999</v>
          </cell>
          <cell r="AA293">
            <v>413705.85136333335</v>
          </cell>
          <cell r="AB293">
            <v>269.0528633333318</v>
          </cell>
          <cell r="AD293">
            <v>74140.729271666656</v>
          </cell>
        </row>
        <row r="294">
          <cell r="C294" t="str">
            <v>Ago</v>
          </cell>
          <cell r="D294">
            <v>20227.370053333336</v>
          </cell>
          <cell r="E294">
            <v>47306.238040000004</v>
          </cell>
          <cell r="F294">
            <v>161951.02626833334</v>
          </cell>
          <cell r="G294">
            <v>66893.276741666661</v>
          </cell>
          <cell r="I294">
            <v>296377.91110333335</v>
          </cell>
          <cell r="O294" t="str">
            <v>Ago</v>
          </cell>
          <cell r="P294">
            <v>145883.95694</v>
          </cell>
          <cell r="Q294">
            <v>121141.81925</v>
          </cell>
          <cell r="R294">
            <v>51924.316109999992</v>
          </cell>
          <cell r="S294">
            <v>68809.873433333341</v>
          </cell>
          <cell r="T294">
            <v>387759.96573333332</v>
          </cell>
          <cell r="Y294" t="str">
            <v>Ago</v>
          </cell>
          <cell r="Z294">
            <v>-317339.53729666671</v>
          </cell>
          <cell r="AA294">
            <v>387759.96573333332</v>
          </cell>
          <cell r="AB294">
            <v>7016.5843533333318</v>
          </cell>
          <cell r="AD294">
            <v>77437.012789999993</v>
          </cell>
        </row>
        <row r="295">
          <cell r="C295" t="str">
            <v>Sep</v>
          </cell>
          <cell r="D295">
            <v>18550.502285000002</v>
          </cell>
          <cell r="E295">
            <v>47941.43856166667</v>
          </cell>
          <cell r="F295">
            <v>159928.43777833332</v>
          </cell>
          <cell r="G295">
            <v>71423.814020000005</v>
          </cell>
          <cell r="I295">
            <v>297844.192645</v>
          </cell>
          <cell r="O295" t="str">
            <v>Sep</v>
          </cell>
          <cell r="P295">
            <v>105797.48316333332</v>
          </cell>
          <cell r="Q295">
            <v>138990.01371999999</v>
          </cell>
          <cell r="R295">
            <v>52230.167576666667</v>
          </cell>
          <cell r="S295">
            <v>49875.718701666665</v>
          </cell>
          <cell r="T295">
            <v>346893.38316166663</v>
          </cell>
          <cell r="Y295" t="str">
            <v>Sep</v>
          </cell>
          <cell r="Z295">
            <v>-318974.59270666668</v>
          </cell>
          <cell r="AA295">
            <v>346893.38316166663</v>
          </cell>
          <cell r="AB295">
            <v>20248.522761666663</v>
          </cell>
          <cell r="AD295">
            <v>48167.313216666669</v>
          </cell>
        </row>
        <row r="296">
          <cell r="C296" t="str">
            <v>Oct</v>
          </cell>
          <cell r="D296">
            <v>16511.814085000002</v>
          </cell>
          <cell r="E296">
            <v>47090.560006666667</v>
          </cell>
          <cell r="F296">
            <v>152016.46364999999</v>
          </cell>
          <cell r="G296">
            <v>85547.143486666668</v>
          </cell>
          <cell r="I296">
            <v>301165.98122833332</v>
          </cell>
          <cell r="O296" t="str">
            <v>Oct</v>
          </cell>
          <cell r="P296">
            <v>74079.891043333322</v>
          </cell>
          <cell r="Q296">
            <v>140351.34542166666</v>
          </cell>
          <cell r="R296">
            <v>49603.796254999994</v>
          </cell>
          <cell r="S296">
            <v>53173.302055</v>
          </cell>
          <cell r="T296">
            <v>317208.33477499994</v>
          </cell>
          <cell r="Y296" t="str">
            <v>Oct</v>
          </cell>
          <cell r="Z296">
            <v>-326612.73442000005</v>
          </cell>
          <cell r="AA296">
            <v>317208.33477499994</v>
          </cell>
          <cell r="AB296">
            <v>36435.970708333334</v>
          </cell>
          <cell r="AD296">
            <v>27031.571063333336</v>
          </cell>
        </row>
        <row r="297">
          <cell r="C297" t="str">
            <v>Nov</v>
          </cell>
          <cell r="D297">
            <v>14083.895173333332</v>
          </cell>
          <cell r="E297">
            <v>50431.027683333326</v>
          </cell>
          <cell r="F297">
            <v>146066.92381666665</v>
          </cell>
          <cell r="G297">
            <v>87725.272511666655</v>
          </cell>
          <cell r="I297">
            <v>298307.11918499996</v>
          </cell>
          <cell r="O297" t="str">
            <v>Nov</v>
          </cell>
          <cell r="P297">
            <v>76592.644866666655</v>
          </cell>
          <cell r="Q297">
            <v>134262.57835833333</v>
          </cell>
          <cell r="R297">
            <v>52913.757290000001</v>
          </cell>
          <cell r="S297">
            <v>47581.509146666671</v>
          </cell>
          <cell r="T297">
            <v>311350.48966166668</v>
          </cell>
          <cell r="Y297" t="str">
            <v>Nov</v>
          </cell>
          <cell r="Z297">
            <v>-354172.24361666664</v>
          </cell>
          <cell r="AA297">
            <v>311350.48966166668</v>
          </cell>
          <cell r="AB297">
            <v>3787.6293799999985</v>
          </cell>
          <cell r="AD297">
            <v>-39034.124574999994</v>
          </cell>
        </row>
        <row r="298">
          <cell r="C298" t="str">
            <v>Dic*</v>
          </cell>
          <cell r="D298">
            <v>12661.622193333335</v>
          </cell>
          <cell r="E298">
            <v>51042.46510666667</v>
          </cell>
          <cell r="F298">
            <v>152316.88772833333</v>
          </cell>
          <cell r="G298">
            <v>86404.530006666668</v>
          </cell>
          <cell r="I298">
            <v>302425.50503499998</v>
          </cell>
          <cell r="O298" t="str">
            <v>Dic*</v>
          </cell>
          <cell r="P298">
            <v>109627.10902333334</v>
          </cell>
          <cell r="Q298">
            <v>145464.92456499999</v>
          </cell>
          <cell r="R298">
            <v>12224.204194999998</v>
          </cell>
          <cell r="S298">
            <v>92070.670924999999</v>
          </cell>
          <cell r="T298">
            <v>359386.90870833333</v>
          </cell>
          <cell r="Y298" t="str">
            <v>Dic*</v>
          </cell>
          <cell r="Z298">
            <v>-426885.95498666662</v>
          </cell>
          <cell r="AA298">
            <v>359386.90870833333</v>
          </cell>
          <cell r="AB298">
            <v>2528.6365883333347</v>
          </cell>
          <cell r="AD298">
            <v>-64970.409689999979</v>
          </cell>
        </row>
        <row r="299">
          <cell r="B299" t="str">
            <v>1998 (p)</v>
          </cell>
          <cell r="C299" t="str">
            <v>Ene</v>
          </cell>
          <cell r="D299">
            <v>11635.035040000001</v>
          </cell>
          <cell r="E299">
            <v>48884.957375000005</v>
          </cell>
          <cell r="F299">
            <v>150960.65745499998</v>
          </cell>
          <cell r="G299">
            <v>84973.905726666664</v>
          </cell>
          <cell r="I299">
            <v>296454.55726333329</v>
          </cell>
          <cell r="N299" t="str">
            <v>1998 (p)</v>
          </cell>
          <cell r="O299" t="str">
            <v>Ene</v>
          </cell>
          <cell r="P299">
            <v>85993.975580000013</v>
          </cell>
          <cell r="Q299">
            <v>119741.036265</v>
          </cell>
          <cell r="R299">
            <v>7051.870286666669</v>
          </cell>
          <cell r="S299">
            <v>120194.51575833332</v>
          </cell>
          <cell r="T299">
            <v>332981.39955666667</v>
          </cell>
          <cell r="X299" t="str">
            <v>1998 (p)</v>
          </cell>
          <cell r="Y299" t="str">
            <v>Ene</v>
          </cell>
          <cell r="Z299">
            <v>-440945.73099499993</v>
          </cell>
          <cell r="AA299">
            <v>332981.39955666667</v>
          </cell>
          <cell r="AB299">
            <v>19229.094568333334</v>
          </cell>
          <cell r="AD299">
            <v>-88735.238536666657</v>
          </cell>
        </row>
        <row r="300">
          <cell r="C300" t="str">
            <v>Feb</v>
          </cell>
          <cell r="D300">
            <v>11370.110316666667</v>
          </cell>
          <cell r="E300">
            <v>48647.964881666667</v>
          </cell>
          <cell r="F300">
            <v>156322.48554333334</v>
          </cell>
          <cell r="G300">
            <v>85517.627186666665</v>
          </cell>
          <cell r="I300">
            <v>301858.18792833335</v>
          </cell>
          <cell r="O300" t="str">
            <v>Feb</v>
          </cell>
          <cell r="P300">
            <v>53627.458561666666</v>
          </cell>
          <cell r="Q300">
            <v>103791.73435166669</v>
          </cell>
          <cell r="R300">
            <v>6392.4012433333337</v>
          </cell>
          <cell r="S300">
            <v>132911.373605</v>
          </cell>
          <cell r="T300">
            <v>296722.9694283334</v>
          </cell>
          <cell r="Y300" t="str">
            <v>Feb</v>
          </cell>
          <cell r="Z300">
            <v>-464582.8047866667</v>
          </cell>
          <cell r="AA300">
            <v>296722.9694283334</v>
          </cell>
          <cell r="AB300">
            <v>15020.512716666664</v>
          </cell>
          <cell r="AD300">
            <v>-152839.32430833331</v>
          </cell>
        </row>
        <row r="301">
          <cell r="C301" t="str">
            <v>Mar</v>
          </cell>
          <cell r="D301">
            <v>10836.815116666667</v>
          </cell>
          <cell r="E301">
            <v>46672.511701666663</v>
          </cell>
          <cell r="F301">
            <v>163167.79158000002</v>
          </cell>
          <cell r="G301">
            <v>82952.419665000009</v>
          </cell>
          <cell r="I301">
            <v>303629.53806333331</v>
          </cell>
          <cell r="O301" t="str">
            <v>Mar</v>
          </cell>
          <cell r="P301">
            <v>60560.697099999998</v>
          </cell>
          <cell r="Q301">
            <v>117853.39985833333</v>
          </cell>
          <cell r="R301">
            <v>17806.435840000002</v>
          </cell>
          <cell r="S301">
            <v>122718.38507333334</v>
          </cell>
          <cell r="T301">
            <v>318938.91787166672</v>
          </cell>
          <cell r="Y301" t="str">
            <v>Mar</v>
          </cell>
          <cell r="Z301">
            <v>-460160.96223499998</v>
          </cell>
          <cell r="AA301">
            <v>318938.91787166672</v>
          </cell>
          <cell r="AB301">
            <v>-5412.0196149999983</v>
          </cell>
          <cell r="AD301">
            <v>-146634.06397833332</v>
          </cell>
        </row>
        <row r="302">
          <cell r="C302" t="str">
            <v>Abr</v>
          </cell>
          <cell r="D302">
            <v>10786.891241666666</v>
          </cell>
          <cell r="E302">
            <v>41536.503214999997</v>
          </cell>
          <cell r="F302">
            <v>157863.55776166669</v>
          </cell>
          <cell r="G302">
            <v>70044.134846666668</v>
          </cell>
          <cell r="I302">
            <v>280231.08706500003</v>
          </cell>
          <cell r="O302" t="str">
            <v>Abr</v>
          </cell>
          <cell r="P302">
            <v>79755.169193333335</v>
          </cell>
          <cell r="Q302">
            <v>94977.78544833335</v>
          </cell>
          <cell r="R302">
            <v>-886.37505333333195</v>
          </cell>
          <cell r="S302">
            <v>163006.40040666668</v>
          </cell>
          <cell r="T302">
            <v>336852.979995</v>
          </cell>
          <cell r="Y302" t="str">
            <v>Abr</v>
          </cell>
          <cell r="Z302">
            <v>-454998.85496333329</v>
          </cell>
          <cell r="AA302">
            <v>336852.979995</v>
          </cell>
          <cell r="AB302">
            <v>-11787.962891666664</v>
          </cell>
          <cell r="AD302">
            <v>-129933.83785999999</v>
          </cell>
        </row>
        <row r="303">
          <cell r="C303" t="str">
            <v>May</v>
          </cell>
          <cell r="D303">
            <v>11187.256149999999</v>
          </cell>
          <cell r="E303">
            <v>37926.058666666671</v>
          </cell>
          <cell r="F303">
            <v>160834.43891999999</v>
          </cell>
          <cell r="G303">
            <v>67977.921728333327</v>
          </cell>
          <cell r="I303">
            <v>277925.67546500004</v>
          </cell>
          <cell r="O303" t="str">
            <v>May</v>
          </cell>
          <cell r="P303">
            <v>24158.69617166667</v>
          </cell>
          <cell r="Q303">
            <v>101016.40049500001</v>
          </cell>
          <cell r="R303">
            <v>-3122.7004283333317</v>
          </cell>
          <cell r="S303">
            <v>181698.77492833335</v>
          </cell>
          <cell r="T303">
            <v>303751.17116666667</v>
          </cell>
          <cell r="Y303" t="str">
            <v>May</v>
          </cell>
          <cell r="Z303">
            <v>-443974.34957166668</v>
          </cell>
          <cell r="AA303">
            <v>303751.17116666667</v>
          </cell>
          <cell r="AB303">
            <v>2064.8146666666676</v>
          </cell>
          <cell r="AD303">
            <v>-138158.36540499999</v>
          </cell>
        </row>
        <row r="304">
          <cell r="C304" t="str">
            <v>Jun</v>
          </cell>
          <cell r="D304">
            <v>10922.199999999999</v>
          </cell>
          <cell r="E304">
            <v>36713.548333333332</v>
          </cell>
          <cell r="F304">
            <v>168370.55166666667</v>
          </cell>
          <cell r="G304">
            <v>66595.33666666667</v>
          </cell>
          <cell r="I304">
            <v>282601.63666666666</v>
          </cell>
          <cell r="O304" t="str">
            <v>Jun</v>
          </cell>
          <cell r="P304">
            <v>10781.35</v>
          </cell>
          <cell r="Q304">
            <v>91236.411666666667</v>
          </cell>
          <cell r="R304">
            <v>37654.691666666673</v>
          </cell>
          <cell r="S304">
            <v>85749.04833333334</v>
          </cell>
          <cell r="T304">
            <v>225421.50166666668</v>
          </cell>
          <cell r="Y304" t="str">
            <v>Jun</v>
          </cell>
          <cell r="Z304">
            <v>-370658.36000000004</v>
          </cell>
          <cell r="AA304">
            <v>225421.50166666668</v>
          </cell>
          <cell r="AB304">
            <v>4098.3183333333336</v>
          </cell>
          <cell r="AD304">
            <v>-141138.54166666666</v>
          </cell>
        </row>
        <row r="305">
          <cell r="C305" t="str">
            <v>Jul</v>
          </cell>
          <cell r="D305">
            <v>11414.711666666668</v>
          </cell>
          <cell r="E305">
            <v>37754.783333333333</v>
          </cell>
          <cell r="F305">
            <v>173647.77333333335</v>
          </cell>
          <cell r="G305">
            <v>68118.434999999998</v>
          </cell>
          <cell r="I305">
            <v>290935.7</v>
          </cell>
          <cell r="O305" t="str">
            <v>Jul</v>
          </cell>
          <cell r="P305">
            <v>33361.33833333334</v>
          </cell>
          <cell r="Q305">
            <v>85889.298333333325</v>
          </cell>
          <cell r="R305">
            <v>38055.65833333334</v>
          </cell>
          <cell r="S305">
            <v>107533.54</v>
          </cell>
          <cell r="T305">
            <v>264839.83333333331</v>
          </cell>
          <cell r="Y305" t="str">
            <v>Jul</v>
          </cell>
          <cell r="Z305">
            <v>-372395.5083333333</v>
          </cell>
          <cell r="AA305">
            <v>264839.83333333331</v>
          </cell>
          <cell r="AB305">
            <v>-7932.3966666666665</v>
          </cell>
          <cell r="AD305">
            <v>-115488.07333333332</v>
          </cell>
        </row>
        <row r="306">
          <cell r="C306" t="str">
            <v>Ago</v>
          </cell>
          <cell r="D306">
            <v>12084.974999999999</v>
          </cell>
          <cell r="E306">
            <v>37741.526666666665</v>
          </cell>
          <cell r="F306">
            <v>172000.45500000002</v>
          </cell>
          <cell r="G306">
            <v>64151.266666666663</v>
          </cell>
          <cell r="I306">
            <v>285978.22166666668</v>
          </cell>
          <cell r="O306" t="str">
            <v>Ago</v>
          </cell>
          <cell r="P306">
            <v>63183.216666666667</v>
          </cell>
          <cell r="Q306">
            <v>110420.60166666667</v>
          </cell>
          <cell r="R306">
            <v>41357.538333333338</v>
          </cell>
          <cell r="S306">
            <v>72696.740000000005</v>
          </cell>
          <cell r="T306">
            <v>287658.09499999997</v>
          </cell>
          <cell r="Y306" t="str">
            <v>Ago</v>
          </cell>
          <cell r="Z306">
            <v>-369629.66166666668</v>
          </cell>
          <cell r="AA306">
            <v>287658.09499999997</v>
          </cell>
          <cell r="AB306">
            <v>6261.4249999999993</v>
          </cell>
          <cell r="AD306">
            <v>-75710.143333333326</v>
          </cell>
        </row>
        <row r="307">
          <cell r="C307" t="str">
            <v>Sep</v>
          </cell>
          <cell r="D307">
            <v>12581.208333333334</v>
          </cell>
          <cell r="E307">
            <v>37849.644999999997</v>
          </cell>
          <cell r="F307">
            <v>165452.62166666667</v>
          </cell>
          <cell r="G307">
            <v>69822.964999999997</v>
          </cell>
          <cell r="I307">
            <v>285706.4383333333</v>
          </cell>
          <cell r="O307" t="str">
            <v>Sep</v>
          </cell>
          <cell r="P307">
            <v>78523.143333333326</v>
          </cell>
          <cell r="Q307">
            <v>54628.528333333328</v>
          </cell>
          <cell r="R307">
            <v>40205.508333333331</v>
          </cell>
          <cell r="S307">
            <v>87043.83666666667</v>
          </cell>
          <cell r="T307">
            <v>260401.01833333334</v>
          </cell>
          <cell r="Y307" t="str">
            <v>Sep</v>
          </cell>
          <cell r="Z307">
            <v>-399708.37166666664</v>
          </cell>
          <cell r="AA307">
            <v>260401.01833333334</v>
          </cell>
          <cell r="AB307">
            <v>35872.776666666665</v>
          </cell>
          <cell r="AD307">
            <v>-103434.58</v>
          </cell>
        </row>
        <row r="308">
          <cell r="C308" t="str">
            <v>Oct</v>
          </cell>
          <cell r="D308">
            <v>13786.938333333334</v>
          </cell>
          <cell r="E308">
            <v>42328.396666666667</v>
          </cell>
          <cell r="F308">
            <v>179949.67833333334</v>
          </cell>
          <cell r="G308">
            <v>85799.471666666665</v>
          </cell>
          <cell r="I308">
            <v>321864.48500000004</v>
          </cell>
          <cell r="O308" t="str">
            <v>Oct</v>
          </cell>
          <cell r="P308">
            <v>41884.78666666666</v>
          </cell>
          <cell r="Q308">
            <v>101163.35166666667</v>
          </cell>
          <cell r="R308">
            <v>60131.393333333333</v>
          </cell>
          <cell r="S308">
            <v>22272.62833333333</v>
          </cell>
          <cell r="T308">
            <v>225452.16</v>
          </cell>
          <cell r="Y308" t="str">
            <v>Oct</v>
          </cell>
          <cell r="Z308">
            <v>-370867.87166666664</v>
          </cell>
          <cell r="AA308">
            <v>225452.16</v>
          </cell>
          <cell r="AB308">
            <v>32732.05666666666</v>
          </cell>
          <cell r="AD308">
            <v>-112683.65833333333</v>
          </cell>
        </row>
        <row r="309">
          <cell r="C309" t="str">
            <v>Nov</v>
          </cell>
          <cell r="D309">
            <v>15956.17</v>
          </cell>
          <cell r="E309">
            <v>42565.829999999994</v>
          </cell>
          <cell r="F309">
            <v>186235.3483333333</v>
          </cell>
          <cell r="G309">
            <v>91191.938333333339</v>
          </cell>
          <cell r="I309">
            <v>335949.28666666668</v>
          </cell>
          <cell r="O309" t="str">
            <v>Nov</v>
          </cell>
          <cell r="P309">
            <v>71384.639999999999</v>
          </cell>
          <cell r="Q309">
            <v>93063.611666666649</v>
          </cell>
          <cell r="R309">
            <v>62303.426666666666</v>
          </cell>
          <cell r="S309">
            <v>19731.321666666663</v>
          </cell>
          <cell r="T309">
            <v>246483.00166666662</v>
          </cell>
          <cell r="Y309" t="str">
            <v>Nov</v>
          </cell>
          <cell r="Z309">
            <v>-340881.92333333334</v>
          </cell>
          <cell r="AA309">
            <v>246483.00166666662</v>
          </cell>
          <cell r="AB309">
            <v>14032.571666666661</v>
          </cell>
          <cell r="AD309">
            <v>-80366.353333333347</v>
          </cell>
        </row>
        <row r="310">
          <cell r="C310" t="str">
            <v>Dic*</v>
          </cell>
          <cell r="D310">
            <v>17355.821666666667</v>
          </cell>
          <cell r="E310">
            <v>46005.666666666664</v>
          </cell>
          <cell r="F310">
            <v>184797.86666666667</v>
          </cell>
          <cell r="G310">
            <v>88873.948333333319</v>
          </cell>
          <cell r="I310">
            <v>337033.30333333334</v>
          </cell>
          <cell r="O310" t="str">
            <v>Dic*</v>
          </cell>
          <cell r="P310">
            <v>58849.183333333327</v>
          </cell>
          <cell r="Q310">
            <v>131119.24</v>
          </cell>
          <cell r="R310">
            <v>51486.036666666674</v>
          </cell>
          <cell r="S310">
            <v>21724.983333333337</v>
          </cell>
          <cell r="T310">
            <v>263179.44666666666</v>
          </cell>
          <cell r="Y310" t="str">
            <v>Dic*</v>
          </cell>
          <cell r="Z310">
            <v>-341065.42499999999</v>
          </cell>
          <cell r="AA310">
            <v>263179.44666666666</v>
          </cell>
          <cell r="AB310">
            <v>22816.131666666664</v>
          </cell>
          <cell r="AD310">
            <v>-55069.850000000006</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s>
    <sheetDataSet>
      <sheetData sheetId="0">
        <row r="4">
          <cell r="P4" t="str">
            <v>1. Estado Comunitario: desarrollo para todos</v>
          </cell>
          <cell r="Q4" t="str">
            <v>2.1 Hacia la consolidación de la Política de Seguridad Democrática</v>
          </cell>
        </row>
        <row r="5">
          <cell r="P5" t="str">
            <v>2. Política de defensa y seguridad democrática</v>
          </cell>
          <cell r="Q5" t="str">
            <v>2.2 Desplazamiento forzado, derechos humanos y reconciliación</v>
          </cell>
        </row>
        <row r="6">
          <cell r="P6" t="str">
            <v>3. Reducción de la pobreza y promoción del empleo y la equidad</v>
          </cell>
          <cell r="Q6" t="str">
            <v>3.1 Pobreza y población vulnerable</v>
          </cell>
        </row>
        <row r="7">
          <cell r="P7" t="str">
            <v>4. Crecimiento alto y sostenido: La condición para un desarrollo con equidad</v>
          </cell>
          <cell r="Q7" t="str">
            <v>3.2 Mercado y relaciones laborales</v>
          </cell>
        </row>
        <row r="8">
          <cell r="P8" t="str">
            <v>5. Una gestión ambiental y del riesgo que promueva el desarrollo sostenible</v>
          </cell>
          <cell r="Q8" t="str">
            <v>3.3 Inserción de las familias en el Sistema de Protección Social</v>
          </cell>
        </row>
        <row r="9">
          <cell r="P9" t="str">
            <v>6. Un mejor Estado al servicio de los ciudadanos</v>
          </cell>
          <cell r="Q9" t="str">
            <v>3.4 Banca de las oportunidades</v>
          </cell>
        </row>
        <row r="10">
          <cell r="P10" t="str">
            <v>7. Dimensiones especiales del desarrollo</v>
          </cell>
          <cell r="Q10" t="str">
            <v>3.5 Ciudades amables</v>
          </cell>
        </row>
        <row r="11">
          <cell r="Q11" t="str">
            <v>3.6 Infraestructura para el desarrollo</v>
          </cell>
        </row>
        <row r="12">
          <cell r="Q12" t="str">
            <v>3.7 Equidad en el campo</v>
          </cell>
        </row>
        <row r="13">
          <cell r="Q13" t="str">
            <v>4.1 Consideraciones Macroeconómicas</v>
          </cell>
        </row>
        <row r="14">
          <cell r="Q14" t="str">
            <v>4.2 Agenda Interna: estrategia de desarrollo productivo</v>
          </cell>
        </row>
        <row r="15">
          <cell r="Q15" t="str">
            <v>4.3 Consolidar el crecimiento y mejorar la competitividad del sector agropecuario</v>
          </cell>
        </row>
        <row r="16">
          <cell r="Q16" t="str">
            <v>5.2 Una gestión ambiental que promueva el desarrollo sostenible</v>
          </cell>
        </row>
        <row r="17">
          <cell r="Q17" t="str">
            <v>5.3 Gestión del riesgo para la prevención y atención de desastres</v>
          </cell>
        </row>
        <row r="18">
          <cell r="Q18" t="str">
            <v>6.1 Los requisitos del Estado comunitario</v>
          </cell>
        </row>
        <row r="19">
          <cell r="Q19" t="str">
            <v>6.2 Los retos del Estado comunitario</v>
          </cell>
        </row>
        <row r="20">
          <cell r="Q20" t="str">
            <v>7.1 Equidad de género</v>
          </cell>
        </row>
        <row r="21">
          <cell r="Q21" t="str">
            <v>7.2 Juventud</v>
          </cell>
        </row>
        <row r="22">
          <cell r="Q22" t="str">
            <v>7.3 Grupos étnicos y relaciones interculturales</v>
          </cell>
        </row>
        <row r="23">
          <cell r="Q23" t="str">
            <v>7.4 Dimensión regional</v>
          </cell>
        </row>
        <row r="24">
          <cell r="Q24" t="str">
            <v>7.5 Ciencia, tecnología e innovación</v>
          </cell>
        </row>
        <row r="25">
          <cell r="Q25" t="str">
            <v>7.6 Cultura y desarrollo</v>
          </cell>
        </row>
        <row r="26">
          <cell r="Q26" t="str">
            <v>7.7 Demografía y desarrollo</v>
          </cell>
        </row>
        <row r="27">
          <cell r="Q27" t="str">
            <v xml:space="preserve">7.8 El sector de la economía solidaria: modelo alternativo de desarrollo socioeconómico </v>
          </cell>
        </row>
        <row r="28">
          <cell r="Q28" t="str">
            <v>7.9 Política exterior y migratoria</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4"/>
      <sheetName val="103"/>
      <sheetName val="102"/>
      <sheetName val="101"/>
    </sheetNames>
    <sheetDataSet>
      <sheetData sheetId="0" refreshError="1"/>
      <sheetData sheetId="1" refreshError="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DISPONIB ACCIONI"/>
      <sheetName val="PPTO GASTOS FUNCIONAMIENTO"/>
      <sheetName val="PPTO INGRESOS CONVENIO"/>
      <sheetName val="PPTO GASTOS INVERSION CONVENIO"/>
      <sheetName val="Personal Gerencia Proyecto 2012"/>
      <sheetName val="PROYEC GASTOS GERENCIA"/>
      <sheetName val="COSTO PLANTA PERSONAL NOMINA"/>
    </sheetNames>
    <sheetDataSet>
      <sheetData sheetId="0" refreshError="1"/>
      <sheetData sheetId="1" refreshError="1"/>
      <sheetData sheetId="2" refreshError="1"/>
      <sheetData sheetId="3" refreshError="1"/>
      <sheetData sheetId="4" refreshError="1"/>
      <sheetData sheetId="5" refreshError="1">
        <row r="4">
          <cell r="AD4">
            <v>402243772.5</v>
          </cell>
        </row>
        <row r="35">
          <cell r="AD35">
            <v>50375000</v>
          </cell>
        </row>
      </sheetData>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DISPONIB ACCIONI"/>
      <sheetName val="PPTO GASTOS FUNCIONAMIENTO"/>
      <sheetName val="PPTO INGRESOS CONVENIO"/>
      <sheetName val="PPTO GASTOS INVERSION CONVENIO"/>
      <sheetName val="Personal Gerencia Proyecto 2012"/>
      <sheetName val="PROYEC GASTOS GERENCIA"/>
      <sheetName val="COSTO PLANTA PERSONAL NOMINA"/>
      <sheetName val="Hoja1"/>
      <sheetName val="PROYEC GERENCIA_EJEC_JUNIO 2016"/>
      <sheetName val="INDICADORES HACIENDA"/>
    </sheetNames>
    <sheetDataSet>
      <sheetData sheetId="0" refreshError="1"/>
      <sheetData sheetId="1" refreshError="1"/>
      <sheetData sheetId="2" refreshError="1"/>
      <sheetData sheetId="3" refreshError="1"/>
      <sheetData sheetId="4" refreshError="1"/>
      <sheetData sheetId="5" refreshError="1">
        <row r="4">
          <cell r="AG4">
            <v>561812313</v>
          </cell>
        </row>
        <row r="5">
          <cell r="AG5">
            <v>485690616.69975996</v>
          </cell>
        </row>
        <row r="6">
          <cell r="AG6">
            <v>579654474</v>
          </cell>
        </row>
        <row r="7">
          <cell r="AG7">
            <v>394699074.31199998</v>
          </cell>
        </row>
        <row r="8">
          <cell r="AG8">
            <v>371856852.31199998</v>
          </cell>
        </row>
        <row r="9">
          <cell r="AG9">
            <v>372094074.31199998</v>
          </cell>
        </row>
        <row r="10">
          <cell r="AG10">
            <v>406508640</v>
          </cell>
        </row>
        <row r="11">
          <cell r="AG11">
            <v>152956656</v>
          </cell>
        </row>
        <row r="12">
          <cell r="AG12">
            <v>389199074.31199998</v>
          </cell>
        </row>
        <row r="13">
          <cell r="AG13">
            <v>178627461</v>
          </cell>
        </row>
        <row r="14">
          <cell r="AG14">
            <v>221460463.28</v>
          </cell>
        </row>
        <row r="15">
          <cell r="AG15">
            <v>155884463.28</v>
          </cell>
        </row>
        <row r="16">
          <cell r="AG16">
            <v>311589995.28000003</v>
          </cell>
        </row>
        <row r="17">
          <cell r="AG17">
            <v>356411474.31199998</v>
          </cell>
        </row>
        <row r="18">
          <cell r="AG18">
            <v>368030930.31199998</v>
          </cell>
        </row>
        <row r="19">
          <cell r="AG19">
            <v>446232235.93388003</v>
          </cell>
        </row>
        <row r="20">
          <cell r="AG20">
            <v>359780674.31199998</v>
          </cell>
        </row>
        <row r="21">
          <cell r="AG21">
            <v>349488674.31199998</v>
          </cell>
        </row>
        <row r="22">
          <cell r="AG22">
            <v>354780674.31199998</v>
          </cell>
        </row>
        <row r="23">
          <cell r="AG23">
            <v>211786518</v>
          </cell>
        </row>
        <row r="24">
          <cell r="AG24">
            <v>171912431</v>
          </cell>
        </row>
        <row r="25">
          <cell r="AG25">
            <v>248116983.3195</v>
          </cell>
        </row>
        <row r="26">
          <cell r="AG26">
            <v>248116983.3195</v>
          </cell>
        </row>
        <row r="27">
          <cell r="AG27">
            <v>155884463.28</v>
          </cell>
        </row>
        <row r="28">
          <cell r="AG28">
            <v>300158125</v>
          </cell>
        </row>
        <row r="29">
          <cell r="AG29">
            <v>122500000</v>
          </cell>
        </row>
        <row r="30">
          <cell r="AG30">
            <v>699966340</v>
          </cell>
        </row>
        <row r="31">
          <cell r="AG31">
            <v>311874415.76760006</v>
          </cell>
        </row>
        <row r="32">
          <cell r="AG32">
            <v>62317317</v>
          </cell>
        </row>
        <row r="33">
          <cell r="AG33">
            <v>142400618</v>
          </cell>
        </row>
        <row r="34">
          <cell r="AG34">
            <v>7200000</v>
          </cell>
        </row>
        <row r="35">
          <cell r="AG35">
            <v>445373606</v>
          </cell>
        </row>
        <row r="36">
          <cell r="AG36">
            <v>9000000</v>
          </cell>
        </row>
        <row r="37">
          <cell r="AG37">
            <v>323272330</v>
          </cell>
        </row>
        <row r="38">
          <cell r="AG38">
            <v>15000000</v>
          </cell>
        </row>
        <row r="39">
          <cell r="AG39">
            <v>9000000</v>
          </cell>
        </row>
        <row r="40">
          <cell r="AG40">
            <v>21000000</v>
          </cell>
        </row>
        <row r="41">
          <cell r="AG41">
            <v>32000000</v>
          </cell>
        </row>
        <row r="44">
          <cell r="AG44">
            <v>2035263003</v>
          </cell>
        </row>
        <row r="45">
          <cell r="AG45">
            <v>418979125</v>
          </cell>
        </row>
        <row r="46">
          <cell r="AG46">
            <v>232069945</v>
          </cell>
        </row>
        <row r="47">
          <cell r="AG47">
            <v>1185183250</v>
          </cell>
        </row>
        <row r="48">
          <cell r="AG48">
            <v>393841275.58999997</v>
          </cell>
        </row>
        <row r="49">
          <cell r="AG49">
            <v>233450528</v>
          </cell>
        </row>
        <row r="50">
          <cell r="AG50">
            <v>24000000</v>
          </cell>
        </row>
        <row r="56">
          <cell r="AG56">
            <v>199195234.62937501</v>
          </cell>
        </row>
      </sheetData>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INDICADORES"/>
      <sheetName val="OBRASxCOMPTES_MARZO 2018"/>
      <sheetName val="obras validadas"/>
      <sheetName val="Hoja3"/>
      <sheetName val="INDICADORES HCDA"/>
      <sheetName val="BALANCE_RECOMPOSIC_MARZO_2018 "/>
      <sheetName val="BALANCE_RECOMPOSIC_DIC_2017 (2"/>
      <sheetName val="Vr a $2009 (2)"/>
      <sheetName val="EJECUCION CONPES"/>
      <sheetName val="BALANCE CONPES"/>
      <sheetName val="EJEC_OBRASxCOMPTES_FTES_AGOSTO"/>
      <sheetName val="BALANCE CONPES 3638"/>
      <sheetName val="BALANCE_RECOMPOSIC CONPES 3833"/>
      <sheetName val="PROPUESTA RECOMPOSICION"/>
      <sheetName val="Hoja4 (2)"/>
      <sheetName val="RECOMPOSICION (2)"/>
      <sheetName val="BALANCE_RECOMPOSIC_feb_2017"/>
      <sheetName val="BALANCE OBRA_COMPONENTES CONPES"/>
      <sheetName val="ANILLO COMFACOR"/>
      <sheetName val="CAMAJON"/>
      <sheetName val="CALLE 24"/>
      <sheetName val="PAGOS A JULIO 31_2017"/>
      <sheetName val="Hoja2"/>
      <sheetName val="AV PRIMERA"/>
      <sheetName val="AVENIDA CIRCUNVALAR"/>
      <sheetName val="P5 Y ALFONSO LOPEZ"/>
      <sheetName val="4 PUENTES PEATONALES"/>
      <sheetName val="INTERVENTORIA AV PRIMERA"/>
      <sheetName val="INTERVENT 4 Y 5"/>
      <sheetName val="INTERVENT P5 Y ALFONSO LOPEZ"/>
      <sheetName val="INTERVENT PUENTES PEATONALES"/>
      <sheetName val="INTERV ANILLO COMFACOR"/>
      <sheetName val="INTERV CLE 24 Y CAMAJON"/>
      <sheetName val="INTERCAMBIADOR ESTADIO IV 3"/>
      <sheetName val="CALLES 21, 22 Y 23"/>
      <sheetName val="CALLE 26"/>
      <sheetName val="ANILLO SUR GUATEQUE"/>
      <sheetName val="PUENTE VEHICULAR CL 29"/>
      <sheetName val="INTERVENT GUATEQUE IV3 CLS 21 "/>
      <sheetName val="INTERVENT PUENTE PV1"/>
      <sheetName val="CONSULTORIA 1DISEÑO CORREDORES "/>
      <sheetName val="CALLE 25"/>
      <sheetName val="CALLE 29"/>
      <sheetName val="CALLE 28"/>
      <sheetName val="INTERVENT CL 25 Y PARADEROS"/>
      <sheetName val="INTERVENTORIAS CLS 29 Y 28"/>
      <sheetName val="CONSULTORIA II DISEÑOS"/>
      <sheetName val=" CRA. 2- PRIMERA ETAPA"/>
      <sheetName val="PUNTO DE CENTRALIZACION"/>
      <sheetName val="CRAS 4 Y 5"/>
      <sheetName val="CALLE 35 E INTERVENTORIA"/>
      <sheetName val="PD 1-6"/>
      <sheetName val="INTERVENT ETAPA I CRA 2 IV5"/>
      <sheetName val="INTERVENT CISC"/>
      <sheetName val="INTERVENT PATIO"/>
      <sheetName val="PATIO"/>
      <sheetName val="SEMAFORIZACION"/>
      <sheetName val="INTERVENTORIA SEMAFORIZ"/>
      <sheetName val="PV 2"/>
      <sheetName val="CALLE 30"/>
      <sheetName val="CLS 31,32,33,34"/>
      <sheetName val="INTERVENTORIA PV2"/>
      <sheetName val="intervent cl 30"/>
      <sheetName val="INTERVENT CLES 31 32"/>
      <sheetName val="INTERVENT. CRA 8, 9 , 10, 1W..."/>
      <sheetName val="INTERVENT TRAMOS-PP3"/>
      <sheetName val="PRADERA_CRA 1w_CRAS 8 9 10"/>
      <sheetName val="SEGUNDA ETAPA CRA 2"/>
      <sheetName val="TRAMOS_CRA 16 _PP3"/>
      <sheetName val="INTERVENT 2 ETAPA CRA 2"/>
      <sheetName val="PREDIOS_EJEC_AGOSTO_2017"/>
      <sheetName val="GERENCIA DEL PROYECTO"/>
      <sheetName val="EJEC CONPES_FORMATO JUNTA "/>
      <sheetName val="GERENCIA PROYECTO_MARZO 2018"/>
      <sheetName val="PREDIOS"/>
      <sheetName val="PREDIOSS"/>
      <sheetName val="COSTOS FINANCIEROS"/>
      <sheetName val="EJEC_OBRASxCOMPTES_FTES_SEPT17"/>
    </sheetNames>
    <sheetDataSet>
      <sheetData sheetId="0" refreshError="1"/>
      <sheetData sheetId="1" refreshError="1"/>
      <sheetData sheetId="2" refreshError="1"/>
      <sheetData sheetId="3">
        <row r="23">
          <cell r="G23">
            <v>279999640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centaje 2016 03"/>
      <sheetName val="tabla indicadores"/>
      <sheetName val="tabla indicadores_ipc 2015"/>
      <sheetName val="Dist_2009_2010_obras mpio"/>
      <sheetName val="Dist_2010 A $2009"/>
      <sheetName val="Dist_obras 2011 a $2009"/>
      <sheetName val="Dist_obras 2012 a $2009"/>
      <sheetName val="Dist_obras 2013 a $2009"/>
      <sheetName val="Dist_2014 a $2009"/>
      <sheetName val="Dist 2015 a $2009"/>
      <sheetName val="Dist 2016-2019"/>
      <sheetName val="Dist_obras a $2009_y a $2013"/>
      <sheetName val="costos financieros"/>
      <sheetName val="PAGOS NOV_DIC_2014"/>
      <sheetName val="SOLICITUD  NACION-CAF_2014"/>
      <sheetName val="Balance POA"/>
      <sheetName val="POA 2014"/>
      <sheetName val="P_A Personal"/>
      <sheetName val="Estructura proyecto"/>
      <sheetName val="Plan de Adquisiciones"/>
      <sheetName val="REPROGRAMACION"/>
      <sheetName val="CAF POR AÑO"/>
      <sheetName val="pagos Nacion OF"/>
      <sheetName val="flujo caja caf 2016"/>
      <sheetName val="POA"/>
      <sheetName val="RESUMEN FLUJO CAF"/>
      <sheetName val="CATEGORIAS"/>
      <sheetName val="FLUJO CAF"/>
      <sheetName val="Detalle Plan de Adquisiciones"/>
      <sheetName val="Listas_Opciones_de_Referencia"/>
      <sheetName val="Instrucciones"/>
      <sheetName val="CRED BCOLBIA $8609"/>
      <sheetName val="CRED BCOLBIA $4000"/>
      <sheetName val="CRED BCOLBIA $6000"/>
      <sheetName val="crdto 2017_1"/>
      <sheetName val="cdto2016_4"/>
      <sheetName val="cdto2016_3"/>
      <sheetName val="cdto 2016_2"/>
      <sheetName val="credito 2016_1"/>
      <sheetName val="credito 2015_3"/>
      <sheetName val="credito 2015_2"/>
      <sheetName val="credito 2015_1"/>
      <sheetName val="credito 2014_1"/>
      <sheetName val="CRED BANCOLOMBIA "/>
      <sheetName val="CREDITO BANCO OCCIDENTE"/>
      <sheetName val="Hoja1"/>
      <sheetName val="REQUERIMIENTOS _ABRIL"/>
      <sheetName val="REQUERIMIENTOS_JUNIO 30"/>
      <sheetName val="Hoja2"/>
      <sheetName val="Hoja3"/>
      <sheetName val="crdto 2018_1"/>
      <sheetName val="crdto 2018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6">
          <cell r="B16" t="str">
            <v>Adquisición</v>
          </cell>
        </row>
        <row r="100">
          <cell r="B100" t="str">
            <v>Sistema de Control SETPC y Señalética</v>
          </cell>
        </row>
        <row r="121">
          <cell r="B121" t="str">
            <v>Sistema de Control SETPC y Señalética</v>
          </cell>
        </row>
        <row r="133">
          <cell r="B133" t="str">
            <v>PV2</v>
          </cell>
        </row>
        <row r="142">
          <cell r="B142" t="str">
            <v>IV5</v>
          </cell>
        </row>
        <row r="145">
          <cell r="B145" t="str">
            <v>PV2</v>
          </cell>
        </row>
        <row r="212">
          <cell r="B212" t="str">
            <v>Pat1</v>
          </cell>
        </row>
        <row r="319">
          <cell r="B319" t="str">
            <v>Pat1</v>
          </cell>
        </row>
        <row r="371">
          <cell r="B371">
            <v>0</v>
          </cell>
        </row>
      </sheetData>
      <sheetData sheetId="25"/>
      <sheetData sheetId="26"/>
      <sheetData sheetId="27"/>
      <sheetData sheetId="28">
        <row r="6">
          <cell r="G6" t="str">
            <v>223-224-225</v>
          </cell>
          <cell r="H6" t="str">
            <v>Licitación Pública Nacional </v>
          </cell>
          <cell r="I6">
            <v>0</v>
          </cell>
          <cell r="J6" t="str">
            <v>LP 001-2011</v>
          </cell>
          <cell r="K6">
            <v>0</v>
          </cell>
          <cell r="L6" t="str">
            <v>Precios Unitarios</v>
          </cell>
          <cell r="M6">
            <v>4499027450</v>
          </cell>
          <cell r="N6">
            <v>0</v>
          </cell>
          <cell r="O6" t="str">
            <v>Sín</v>
          </cell>
          <cell r="P6">
            <v>0</v>
          </cell>
          <cell r="Q6" t="str">
            <v>N/A</v>
          </cell>
          <cell r="R6">
            <v>40572</v>
          </cell>
          <cell r="S6" t="str">
            <v>N/A</v>
          </cell>
          <cell r="T6" t="str">
            <v>N/A</v>
          </cell>
          <cell r="U6" t="str">
            <v>N/A</v>
          </cell>
          <cell r="V6">
            <v>40576</v>
          </cell>
          <cell r="W6" t="str">
            <v>N/A</v>
          </cell>
          <cell r="X6">
            <v>40591</v>
          </cell>
          <cell r="Y6" t="str">
            <v>N/A</v>
          </cell>
          <cell r="Z6">
            <v>40603</v>
          </cell>
          <cell r="AA6" t="str">
            <v>N/A</v>
          </cell>
          <cell r="AB6" t="str">
            <v>N/A</v>
          </cell>
          <cell r="AC6" t="str">
            <v>N/A</v>
          </cell>
          <cell r="AD6">
            <v>40637</v>
          </cell>
          <cell r="AE6">
            <v>40962</v>
          </cell>
          <cell r="AF6">
            <v>40962</v>
          </cell>
        </row>
        <row r="7">
          <cell r="G7" t="str">
            <v>125-126-127-128-129-130</v>
          </cell>
          <cell r="H7" t="str">
            <v>Licitación Pública Nacional </v>
          </cell>
          <cell r="I7">
            <v>0</v>
          </cell>
          <cell r="J7" t="str">
            <v>LP 002-2011</v>
          </cell>
          <cell r="K7">
            <v>0</v>
          </cell>
          <cell r="L7" t="str">
            <v>Precios Unitarios</v>
          </cell>
          <cell r="M7">
            <v>14147032722</v>
          </cell>
          <cell r="N7">
            <v>0</v>
          </cell>
          <cell r="O7" t="str">
            <v>Sín</v>
          </cell>
          <cell r="P7">
            <v>0</v>
          </cell>
          <cell r="Q7" t="str">
            <v>N/A</v>
          </cell>
          <cell r="R7">
            <v>40596</v>
          </cell>
          <cell r="S7" t="str">
            <v>N/A</v>
          </cell>
          <cell r="T7" t="str">
            <v>N/A</v>
          </cell>
          <cell r="U7" t="str">
            <v>N/A</v>
          </cell>
          <cell r="V7">
            <v>40597</v>
          </cell>
          <cell r="W7" t="str">
            <v>N/A</v>
          </cell>
          <cell r="X7">
            <v>40612</v>
          </cell>
          <cell r="Y7" t="str">
            <v>N/A</v>
          </cell>
          <cell r="Z7">
            <v>40627</v>
          </cell>
          <cell r="AA7" t="str">
            <v>N/A</v>
          </cell>
          <cell r="AB7" t="str">
            <v>N/A</v>
          </cell>
          <cell r="AC7" t="str">
            <v>N/A</v>
          </cell>
          <cell r="AD7">
            <v>40700</v>
          </cell>
          <cell r="AE7">
            <v>41247</v>
          </cell>
          <cell r="AF7">
            <v>41247</v>
          </cell>
        </row>
        <row r="8">
          <cell r="G8">
            <v>5</v>
          </cell>
          <cell r="H8" t="str">
            <v>Licitación Pública Nacional </v>
          </cell>
          <cell r="I8">
            <v>0</v>
          </cell>
          <cell r="J8" t="str">
            <v>LP 004-2011</v>
          </cell>
          <cell r="K8">
            <v>0</v>
          </cell>
          <cell r="L8" t="str">
            <v>Precios Unitarios</v>
          </cell>
          <cell r="M8">
            <v>7204784374</v>
          </cell>
          <cell r="N8">
            <v>0</v>
          </cell>
          <cell r="O8" t="str">
            <v>Sín</v>
          </cell>
          <cell r="P8">
            <v>0</v>
          </cell>
          <cell r="Q8" t="str">
            <v>N/A</v>
          </cell>
          <cell r="R8">
            <v>40637</v>
          </cell>
          <cell r="S8" t="str">
            <v>N/A</v>
          </cell>
          <cell r="T8" t="str">
            <v>N/A</v>
          </cell>
          <cell r="U8" t="str">
            <v>N/A</v>
          </cell>
          <cell r="V8">
            <v>40645</v>
          </cell>
          <cell r="W8" t="str">
            <v>N/A</v>
          </cell>
          <cell r="X8">
            <v>40662</v>
          </cell>
          <cell r="Y8" t="str">
            <v>N/A</v>
          </cell>
          <cell r="Z8">
            <v>40679</v>
          </cell>
          <cell r="AA8" t="str">
            <v>N/A</v>
          </cell>
          <cell r="AB8" t="str">
            <v>N/A</v>
          </cell>
          <cell r="AC8" t="str">
            <v>N/A</v>
          </cell>
          <cell r="AD8">
            <v>40718</v>
          </cell>
          <cell r="AE8">
            <v>41163</v>
          </cell>
          <cell r="AF8">
            <v>41326</v>
          </cell>
        </row>
        <row r="9">
          <cell r="G9" t="str">
            <v>106-120-121-IV2</v>
          </cell>
          <cell r="H9" t="str">
            <v>Licitación Pública Nacional </v>
          </cell>
          <cell r="I9">
            <v>0</v>
          </cell>
          <cell r="J9" t="str">
            <v>LP 005-2011</v>
          </cell>
          <cell r="K9">
            <v>0</v>
          </cell>
          <cell r="L9" t="str">
            <v>Precios Unitarios</v>
          </cell>
          <cell r="M9">
            <v>3299992963.1500001</v>
          </cell>
          <cell r="N9">
            <v>0</v>
          </cell>
          <cell r="O9" t="str">
            <v>Sín</v>
          </cell>
          <cell r="P9">
            <v>0</v>
          </cell>
          <cell r="Q9" t="str">
            <v>N/A</v>
          </cell>
          <cell r="R9">
            <v>40757</v>
          </cell>
          <cell r="S9" t="str">
            <v>N/A</v>
          </cell>
          <cell r="T9" t="str">
            <v>N/A</v>
          </cell>
          <cell r="U9" t="str">
            <v>N/A</v>
          </cell>
          <cell r="V9">
            <v>40758</v>
          </cell>
          <cell r="W9" t="str">
            <v>N/A</v>
          </cell>
          <cell r="X9">
            <v>40774</v>
          </cell>
          <cell r="Y9" t="str">
            <v>N/A</v>
          </cell>
          <cell r="Z9">
            <v>40792</v>
          </cell>
          <cell r="AA9" t="str">
            <v>N/A</v>
          </cell>
          <cell r="AB9" t="str">
            <v>N/A</v>
          </cell>
          <cell r="AC9" t="str">
            <v>N/A</v>
          </cell>
          <cell r="AD9">
            <v>40868</v>
          </cell>
          <cell r="AE9">
            <v>41050</v>
          </cell>
          <cell r="AF9">
            <v>41081</v>
          </cell>
        </row>
        <row r="10">
          <cell r="G10" t="str">
            <v>PP1-PP2-PP4-PP5-IV1</v>
          </cell>
          <cell r="H10" t="str">
            <v>Licitación Pública Nacional </v>
          </cell>
          <cell r="I10">
            <v>0</v>
          </cell>
          <cell r="J10" t="str">
            <v>LP 006-2011</v>
          </cell>
          <cell r="K10">
            <v>0</v>
          </cell>
          <cell r="L10" t="str">
            <v>Precios Unitarios</v>
          </cell>
          <cell r="M10">
            <v>6739982986</v>
          </cell>
          <cell r="N10">
            <v>0</v>
          </cell>
          <cell r="O10" t="str">
            <v>Sín</v>
          </cell>
          <cell r="P10">
            <v>0</v>
          </cell>
          <cell r="Q10" t="str">
            <v>N/A</v>
          </cell>
          <cell r="R10">
            <v>40791</v>
          </cell>
          <cell r="S10" t="str">
            <v>N/A</v>
          </cell>
          <cell r="T10" t="str">
            <v>N/A</v>
          </cell>
          <cell r="U10" t="str">
            <v>N/A</v>
          </cell>
          <cell r="V10">
            <v>40793</v>
          </cell>
          <cell r="W10" t="str">
            <v>N/A</v>
          </cell>
          <cell r="X10">
            <v>40808</v>
          </cell>
          <cell r="Y10" t="str">
            <v>N/A</v>
          </cell>
          <cell r="Z10">
            <v>40826</v>
          </cell>
          <cell r="AA10" t="str">
            <v>N/A</v>
          </cell>
          <cell r="AB10" t="str">
            <v>N/A</v>
          </cell>
          <cell r="AC10" t="str">
            <v>N/A</v>
          </cell>
          <cell r="AD10">
            <v>40862</v>
          </cell>
          <cell r="AE10">
            <v>41283</v>
          </cell>
          <cell r="AF10">
            <v>41356</v>
          </cell>
        </row>
        <row r="11">
          <cell r="G11" t="str">
            <v>92-93-94-95-117-118-IV 4-226-227-228</v>
          </cell>
          <cell r="H11" t="str">
            <v>Licitación Pública Nacional </v>
          </cell>
          <cell r="I11">
            <v>0</v>
          </cell>
          <cell r="J11" t="str">
            <v>LP 001-2012</v>
          </cell>
          <cell r="K11" t="str">
            <v>Contratación de Obras Menores</v>
          </cell>
          <cell r="L11" t="str">
            <v>Precios Unitarios</v>
          </cell>
          <cell r="M11">
            <v>14332883500.4</v>
          </cell>
          <cell r="N11">
            <v>0</v>
          </cell>
          <cell r="O11" t="str">
            <v>Sín</v>
          </cell>
          <cell r="P11" t="str">
            <v>Previsto</v>
          </cell>
          <cell r="Q11" t="str">
            <v>N/A</v>
          </cell>
          <cell r="R11">
            <v>40967</v>
          </cell>
          <cell r="S11" t="str">
            <v>N/A</v>
          </cell>
          <cell r="T11" t="str">
            <v>N/A</v>
          </cell>
          <cell r="U11" t="str">
            <v>N/A</v>
          </cell>
          <cell r="V11">
            <v>41009</v>
          </cell>
          <cell r="W11" t="str">
            <v>N/A</v>
          </cell>
          <cell r="X11">
            <v>41024</v>
          </cell>
          <cell r="Y11" t="str">
            <v>N/A</v>
          </cell>
          <cell r="Z11">
            <v>41051</v>
          </cell>
          <cell r="AA11" t="str">
            <v>N/A</v>
          </cell>
          <cell r="AB11" t="str">
            <v>N/A</v>
          </cell>
          <cell r="AC11" t="str">
            <v>N/A</v>
          </cell>
          <cell r="AD11">
            <v>41064</v>
          </cell>
          <cell r="AE11">
            <v>41540</v>
          </cell>
          <cell r="AF11" t="str">
            <v>N/A</v>
          </cell>
        </row>
        <row r="12">
          <cell r="G12">
            <v>91</v>
          </cell>
          <cell r="H12" t="str">
            <v>Licitación Pública Nacional </v>
          </cell>
          <cell r="I12">
            <v>0</v>
          </cell>
          <cell r="J12" t="str">
            <v>LP 009-2011</v>
          </cell>
          <cell r="K12">
            <v>0</v>
          </cell>
          <cell r="L12" t="str">
            <v>Precios Unitarios</v>
          </cell>
          <cell r="M12">
            <v>2238946995</v>
          </cell>
          <cell r="N12">
            <v>0</v>
          </cell>
          <cell r="O12" t="str">
            <v>Sín</v>
          </cell>
          <cell r="P12" t="str">
            <v>Previsto</v>
          </cell>
          <cell r="Q12" t="str">
            <v>N/A</v>
          </cell>
          <cell r="R12">
            <v>40891</v>
          </cell>
          <cell r="S12" t="str">
            <v>N/A</v>
          </cell>
          <cell r="T12" t="str">
            <v>N/A</v>
          </cell>
          <cell r="U12" t="str">
            <v>N/A</v>
          </cell>
          <cell r="V12">
            <v>40892</v>
          </cell>
          <cell r="W12" t="str">
            <v>N/A</v>
          </cell>
          <cell r="X12">
            <v>40907</v>
          </cell>
          <cell r="Y12" t="str">
            <v>N/A</v>
          </cell>
          <cell r="Z12">
            <v>40928</v>
          </cell>
          <cell r="AA12" t="str">
            <v>N/A</v>
          </cell>
          <cell r="AB12" t="str">
            <v>N/A</v>
          </cell>
          <cell r="AC12" t="str">
            <v>N/A</v>
          </cell>
          <cell r="AD12">
            <v>40945</v>
          </cell>
          <cell r="AE12">
            <v>41248</v>
          </cell>
          <cell r="AF12">
            <v>41248</v>
          </cell>
        </row>
        <row r="13">
          <cell r="G13" t="str">
            <v>131-219</v>
          </cell>
          <cell r="H13" t="str">
            <v>Licitación Pública Nacional </v>
          </cell>
          <cell r="I13">
            <v>0</v>
          </cell>
          <cell r="J13" t="str">
            <v>LP 008-2011</v>
          </cell>
          <cell r="K13">
            <v>0</v>
          </cell>
          <cell r="L13" t="str">
            <v>Precios Unitarios</v>
          </cell>
          <cell r="M13">
            <v>4320000000</v>
          </cell>
          <cell r="N13">
            <v>0</v>
          </cell>
          <cell r="O13" t="str">
            <v>Sín</v>
          </cell>
          <cell r="P13" t="str">
            <v>Previsto</v>
          </cell>
          <cell r="Q13" t="str">
            <v>N/A</v>
          </cell>
          <cell r="R13">
            <v>40889</v>
          </cell>
          <cell r="S13" t="str">
            <v>N/A</v>
          </cell>
          <cell r="T13" t="str">
            <v>N/A</v>
          </cell>
          <cell r="U13" t="str">
            <v>N/A</v>
          </cell>
          <cell r="V13">
            <v>40892</v>
          </cell>
          <cell r="W13" t="str">
            <v>N/A</v>
          </cell>
          <cell r="X13">
            <v>40907</v>
          </cell>
          <cell r="Y13" t="str">
            <v>N/A</v>
          </cell>
          <cell r="Z13">
            <v>40927</v>
          </cell>
          <cell r="AA13" t="str">
            <v>N/A</v>
          </cell>
          <cell r="AB13" t="str">
            <v>N/A</v>
          </cell>
          <cell r="AC13" t="str">
            <v>N/A</v>
          </cell>
          <cell r="AD13">
            <v>40945</v>
          </cell>
          <cell r="AE13">
            <v>41294</v>
          </cell>
          <cell r="AF13">
            <v>41270</v>
          </cell>
        </row>
        <row r="14">
          <cell r="G14" t="str">
            <v>IV 3</v>
          </cell>
          <cell r="H14" t="str">
            <v>Licitación Pública Nacional </v>
          </cell>
          <cell r="I14">
            <v>0</v>
          </cell>
          <cell r="J14">
            <v>0</v>
          </cell>
          <cell r="K14" t="str">
            <v>Contratación de Obras Menores</v>
          </cell>
          <cell r="L14" t="str">
            <v>Precios Unitarios</v>
          </cell>
          <cell r="M14">
            <v>1857246346</v>
          </cell>
          <cell r="N14">
            <v>0</v>
          </cell>
          <cell r="O14" t="str">
            <v>Sín</v>
          </cell>
          <cell r="P14" t="str">
            <v>Previsto</v>
          </cell>
          <cell r="Q14">
            <v>41354</v>
          </cell>
          <cell r="R14" t="str">
            <v>N/A</v>
          </cell>
          <cell r="S14" t="str">
            <v>N/A</v>
          </cell>
          <cell r="T14" t="str">
            <v>N/A</v>
          </cell>
          <cell r="U14">
            <v>41362</v>
          </cell>
          <cell r="V14">
            <v>41341</v>
          </cell>
          <cell r="W14">
            <v>41377</v>
          </cell>
          <cell r="X14">
            <v>41331</v>
          </cell>
          <cell r="Y14">
            <v>41397</v>
          </cell>
          <cell r="Z14">
            <v>41351</v>
          </cell>
          <cell r="AA14" t="str">
            <v>N/A</v>
          </cell>
          <cell r="AB14" t="str">
            <v>N/A</v>
          </cell>
          <cell r="AC14">
            <v>41429</v>
          </cell>
          <cell r="AD14">
            <v>41369</v>
          </cell>
          <cell r="AE14">
            <v>41612</v>
          </cell>
          <cell r="AF14">
            <v>41837</v>
          </cell>
        </row>
        <row r="15">
          <cell r="G15" t="str">
            <v>220 - 221 - 222</v>
          </cell>
          <cell r="H15" t="str">
            <v>Licitación Pública Nacional </v>
          </cell>
          <cell r="I15">
            <v>0</v>
          </cell>
          <cell r="J15">
            <v>0</v>
          </cell>
          <cell r="K15" t="str">
            <v>Contratación de Obras Menores</v>
          </cell>
          <cell r="L15" t="str">
            <v>Precios Unitarios</v>
          </cell>
          <cell r="M15">
            <v>2999575833</v>
          </cell>
          <cell r="N15">
            <v>0</v>
          </cell>
          <cell r="O15" t="str">
            <v>Sín</v>
          </cell>
          <cell r="P15" t="str">
            <v>Previsto</v>
          </cell>
          <cell r="Q15">
            <v>41354</v>
          </cell>
          <cell r="R15" t="str">
            <v>N/A</v>
          </cell>
          <cell r="S15" t="str">
            <v>N/A</v>
          </cell>
          <cell r="T15" t="str">
            <v>N/A</v>
          </cell>
          <cell r="U15">
            <v>41362</v>
          </cell>
          <cell r="V15">
            <v>41290</v>
          </cell>
          <cell r="W15">
            <v>41377</v>
          </cell>
          <cell r="X15">
            <v>41306</v>
          </cell>
          <cell r="Y15">
            <v>41397</v>
          </cell>
          <cell r="Z15">
            <v>41331</v>
          </cell>
          <cell r="AA15" t="str">
            <v>N/A</v>
          </cell>
          <cell r="AB15" t="str">
            <v>N/A</v>
          </cell>
          <cell r="AC15">
            <v>41429</v>
          </cell>
          <cell r="AD15">
            <v>41346</v>
          </cell>
          <cell r="AE15" t="e">
            <v>#N/A</v>
          </cell>
          <cell r="AF15">
            <v>41707</v>
          </cell>
        </row>
        <row r="16">
          <cell r="G16" t="str">
            <v>217-229-230</v>
          </cell>
          <cell r="H16" t="str">
            <v>Licitación Pública Nacional </v>
          </cell>
          <cell r="I16">
            <v>0</v>
          </cell>
          <cell r="J16">
            <v>0</v>
          </cell>
          <cell r="K16" t="str">
            <v>Contratación de Obras Menores</v>
          </cell>
          <cell r="L16" t="str">
            <v>Precios Unitarios</v>
          </cell>
          <cell r="M16">
            <v>3170750778</v>
          </cell>
          <cell r="N16">
            <v>0</v>
          </cell>
          <cell r="O16" t="str">
            <v>Sín</v>
          </cell>
          <cell r="P16" t="str">
            <v>Previsto</v>
          </cell>
          <cell r="Q16">
            <v>41487</v>
          </cell>
          <cell r="R16" t="str">
            <v>N/A</v>
          </cell>
          <cell r="S16" t="str">
            <v>N/A</v>
          </cell>
          <cell r="T16" t="str">
            <v>N/A</v>
          </cell>
          <cell r="U16">
            <v>41495</v>
          </cell>
          <cell r="V16">
            <v>41500</v>
          </cell>
          <cell r="W16">
            <v>41510</v>
          </cell>
          <cell r="X16">
            <v>41516</v>
          </cell>
          <cell r="Y16">
            <v>41530</v>
          </cell>
          <cell r="Z16">
            <v>41540</v>
          </cell>
          <cell r="AA16" t="str">
            <v>N/A</v>
          </cell>
          <cell r="AB16" t="str">
            <v>N/A</v>
          </cell>
          <cell r="AC16">
            <v>41562</v>
          </cell>
          <cell r="AD16">
            <v>41564</v>
          </cell>
          <cell r="AE16" t="e">
            <v>#N/A</v>
          </cell>
          <cell r="AF16">
            <v>41833</v>
          </cell>
        </row>
        <row r="17">
          <cell r="G17" t="str">
            <v>97-98-99</v>
          </cell>
          <cell r="H17" t="str">
            <v>Licitación Pública Nacional </v>
          </cell>
          <cell r="I17">
            <v>0</v>
          </cell>
          <cell r="J17">
            <v>0</v>
          </cell>
          <cell r="K17" t="str">
            <v>Contratación de Obras Menores</v>
          </cell>
          <cell r="L17" t="str">
            <v>Precios Unitarios</v>
          </cell>
          <cell r="M17">
            <v>10081617078.620001</v>
          </cell>
          <cell r="N17">
            <v>0</v>
          </cell>
          <cell r="O17" t="str">
            <v>Sín</v>
          </cell>
          <cell r="P17" t="str">
            <v>Previsto</v>
          </cell>
          <cell r="Q17">
            <v>41354</v>
          </cell>
          <cell r="R17" t="str">
            <v>N/A</v>
          </cell>
          <cell r="S17" t="str">
            <v>N/A</v>
          </cell>
          <cell r="T17" t="str">
            <v>N/A</v>
          </cell>
          <cell r="U17">
            <v>41362</v>
          </cell>
          <cell r="V17">
            <v>41355</v>
          </cell>
          <cell r="W17">
            <v>41377</v>
          </cell>
          <cell r="X17">
            <v>41375</v>
          </cell>
          <cell r="Y17">
            <v>41397</v>
          </cell>
          <cell r="Z17">
            <v>41394</v>
          </cell>
          <cell r="AA17" t="str">
            <v>N/A</v>
          </cell>
          <cell r="AB17" t="str">
            <v>N/A</v>
          </cell>
          <cell r="AC17">
            <v>41429</v>
          </cell>
          <cell r="AD17">
            <v>41417</v>
          </cell>
          <cell r="AE17">
            <v>41916</v>
          </cell>
          <cell r="AF17">
            <v>42040</v>
          </cell>
        </row>
        <row r="18">
          <cell r="G18" t="str">
            <v>PV1</v>
          </cell>
          <cell r="H18" t="str">
            <v>Licitación Pública Nacional </v>
          </cell>
          <cell r="I18">
            <v>0</v>
          </cell>
          <cell r="J18">
            <v>0</v>
          </cell>
          <cell r="K18" t="str">
            <v>Contratación de Obras Menores</v>
          </cell>
          <cell r="L18" t="str">
            <v>Precios Unitarios</v>
          </cell>
          <cell r="M18">
            <v>17001067611.52</v>
          </cell>
          <cell r="N18">
            <v>0</v>
          </cell>
          <cell r="O18" t="str">
            <v>Sín</v>
          </cell>
          <cell r="P18" t="str">
            <v>Previsto</v>
          </cell>
          <cell r="Q18">
            <v>41410</v>
          </cell>
          <cell r="R18" t="str">
            <v>N/A</v>
          </cell>
          <cell r="S18" t="str">
            <v>N/A</v>
          </cell>
          <cell r="T18" t="str">
            <v>N/A</v>
          </cell>
          <cell r="U18">
            <v>41418</v>
          </cell>
          <cell r="V18">
            <v>41295</v>
          </cell>
          <cell r="W18">
            <v>41433</v>
          </cell>
          <cell r="X18">
            <v>41311</v>
          </cell>
          <cell r="Y18">
            <v>41453</v>
          </cell>
          <cell r="Z18">
            <v>41334</v>
          </cell>
          <cell r="AA18" t="str">
            <v>N/A</v>
          </cell>
          <cell r="AB18" t="str">
            <v>N/A</v>
          </cell>
          <cell r="AC18">
            <v>41485</v>
          </cell>
          <cell r="AD18">
            <v>41352</v>
          </cell>
          <cell r="AE18">
            <v>41912</v>
          </cell>
          <cell r="AF18">
            <v>42096</v>
          </cell>
        </row>
        <row r="19">
          <cell r="G19" t="str">
            <v>132-133-134-218-PEP18</v>
          </cell>
          <cell r="H19" t="str">
            <v>Licitación Pública Nacional </v>
          </cell>
          <cell r="I19">
            <v>0</v>
          </cell>
          <cell r="J19">
            <v>0</v>
          </cell>
          <cell r="K19" t="str">
            <v>Contratación de Obras Menores</v>
          </cell>
          <cell r="L19" t="str">
            <v>Precios Unitarios</v>
          </cell>
          <cell r="M19">
            <v>5269336875</v>
          </cell>
          <cell r="N19">
            <v>0</v>
          </cell>
          <cell r="O19" t="str">
            <v>Sín</v>
          </cell>
          <cell r="P19" t="str">
            <v>Previsto</v>
          </cell>
          <cell r="Q19">
            <v>41426</v>
          </cell>
          <cell r="R19" t="str">
            <v>N/A</v>
          </cell>
          <cell r="S19" t="str">
            <v>N/A</v>
          </cell>
          <cell r="T19" t="str">
            <v>N/A</v>
          </cell>
          <cell r="U19">
            <v>41434</v>
          </cell>
          <cell r="V19">
            <v>41506</v>
          </cell>
          <cell r="W19">
            <v>41449</v>
          </cell>
          <cell r="X19">
            <v>41521</v>
          </cell>
          <cell r="Y19">
            <v>41469</v>
          </cell>
          <cell r="Z19" t="str">
            <v>30/092013</v>
          </cell>
          <cell r="AA19" t="str">
            <v>N/A</v>
          </cell>
          <cell r="AB19" t="str">
            <v>N/A</v>
          </cell>
          <cell r="AC19">
            <v>41501</v>
          </cell>
          <cell r="AD19">
            <v>41569</v>
          </cell>
          <cell r="AE19">
            <v>41866</v>
          </cell>
          <cell r="AF19">
            <v>42017</v>
          </cell>
        </row>
        <row r="20">
          <cell r="G20" t="str">
            <v>212-213</v>
          </cell>
          <cell r="H20" t="str">
            <v>Licitación Pública Nacional </v>
          </cell>
          <cell r="I20">
            <v>0</v>
          </cell>
          <cell r="J20">
            <v>0</v>
          </cell>
          <cell r="K20" t="str">
            <v>Contratación de Obras Menores</v>
          </cell>
          <cell r="L20" t="str">
            <v>Precios Unitarios</v>
          </cell>
          <cell r="M20">
            <v>5908664668</v>
          </cell>
          <cell r="N20">
            <v>0</v>
          </cell>
          <cell r="O20" t="str">
            <v>Sín</v>
          </cell>
          <cell r="P20" t="str">
            <v>Previsto</v>
          </cell>
          <cell r="Q20">
            <v>41669</v>
          </cell>
          <cell r="R20" t="str">
            <v>N/A</v>
          </cell>
          <cell r="S20" t="str">
            <v>N/A</v>
          </cell>
          <cell r="T20" t="str">
            <v>N/A</v>
          </cell>
          <cell r="U20">
            <v>41677</v>
          </cell>
          <cell r="V20">
            <v>41569</v>
          </cell>
          <cell r="W20">
            <v>41692</v>
          </cell>
          <cell r="X20">
            <v>41586</v>
          </cell>
          <cell r="Y20">
            <v>41712</v>
          </cell>
          <cell r="Z20">
            <v>41617</v>
          </cell>
          <cell r="AA20" t="str">
            <v>N/A</v>
          </cell>
          <cell r="AB20" t="str">
            <v>N/A</v>
          </cell>
          <cell r="AC20">
            <v>41744</v>
          </cell>
          <cell r="AD20">
            <v>41624</v>
          </cell>
          <cell r="AE20">
            <v>41988</v>
          </cell>
          <cell r="AF20">
            <v>42063</v>
          </cell>
        </row>
        <row r="21">
          <cell r="G21" t="str">
            <v>214-215</v>
          </cell>
          <cell r="H21" t="str">
            <v>Licitación Pública Nacional </v>
          </cell>
          <cell r="I21">
            <v>0</v>
          </cell>
          <cell r="J21">
            <v>0</v>
          </cell>
          <cell r="K21" t="str">
            <v>Contratación de Obras Menores</v>
          </cell>
          <cell r="L21" t="str">
            <v>Precios Unitarios</v>
          </cell>
          <cell r="M21">
            <v>2686696606</v>
          </cell>
          <cell r="N21">
            <v>0</v>
          </cell>
          <cell r="O21" t="str">
            <v>Sín</v>
          </cell>
          <cell r="P21" t="str">
            <v>Previsto</v>
          </cell>
          <cell r="Q21">
            <v>41669</v>
          </cell>
          <cell r="R21" t="str">
            <v>N/A</v>
          </cell>
          <cell r="S21" t="str">
            <v>N/A</v>
          </cell>
          <cell r="T21" t="str">
            <v>N/A</v>
          </cell>
          <cell r="U21">
            <v>41677</v>
          </cell>
          <cell r="V21">
            <v>41591</v>
          </cell>
          <cell r="W21">
            <v>41692</v>
          </cell>
          <cell r="X21">
            <v>41606</v>
          </cell>
          <cell r="Y21">
            <v>41712</v>
          </cell>
          <cell r="Z21">
            <v>41624</v>
          </cell>
          <cell r="AA21" t="str">
            <v>N/A</v>
          </cell>
          <cell r="AB21" t="str">
            <v>N/A</v>
          </cell>
          <cell r="AC21">
            <v>41744</v>
          </cell>
          <cell r="AD21">
            <v>41659</v>
          </cell>
          <cell r="AE21">
            <v>41897</v>
          </cell>
          <cell r="AF21">
            <v>41998</v>
          </cell>
        </row>
        <row r="22">
          <cell r="G22" t="str">
            <v>204-205-206</v>
          </cell>
          <cell r="H22" t="str">
            <v>Licitación Pública Nacional </v>
          </cell>
          <cell r="I22">
            <v>0</v>
          </cell>
          <cell r="J22">
            <v>0</v>
          </cell>
          <cell r="K22">
            <v>0</v>
          </cell>
          <cell r="L22">
            <v>0</v>
          </cell>
          <cell r="M22">
            <v>4724545716</v>
          </cell>
          <cell r="N22">
            <v>0</v>
          </cell>
          <cell r="O22" t="str">
            <v>Sín</v>
          </cell>
          <cell r="P22" t="str">
            <v>Previsto</v>
          </cell>
          <cell r="Q22">
            <v>42217</v>
          </cell>
          <cell r="R22" t="str">
            <v>N/A</v>
          </cell>
          <cell r="S22" t="str">
            <v>N/A</v>
          </cell>
          <cell r="T22" t="str">
            <v>N/A</v>
          </cell>
          <cell r="U22">
            <v>42225</v>
          </cell>
          <cell r="V22">
            <v>42011</v>
          </cell>
          <cell r="W22">
            <v>42240</v>
          </cell>
          <cell r="X22">
            <v>42027</v>
          </cell>
          <cell r="Y22">
            <v>42260</v>
          </cell>
          <cell r="Z22">
            <v>42044</v>
          </cell>
          <cell r="AA22" t="str">
            <v>N/A</v>
          </cell>
          <cell r="AB22" t="str">
            <v>N/A</v>
          </cell>
          <cell r="AC22">
            <v>42292</v>
          </cell>
          <cell r="AD22">
            <v>42067</v>
          </cell>
          <cell r="AE22">
            <v>42536</v>
          </cell>
          <cell r="AF22" t="str">
            <v>N/A</v>
          </cell>
        </row>
        <row r="23">
          <cell r="G23">
            <v>204</v>
          </cell>
          <cell r="H23" t="str">
            <v>Licitación Pública Nacional </v>
          </cell>
          <cell r="I23">
            <v>0</v>
          </cell>
          <cell r="J23">
            <v>0</v>
          </cell>
          <cell r="K23" t="str">
            <v>Contratación de Obras Menores</v>
          </cell>
          <cell r="L23" t="str">
            <v>Precios Unitarios</v>
          </cell>
          <cell r="M23">
            <v>5275454284</v>
          </cell>
          <cell r="N23">
            <v>0</v>
          </cell>
          <cell r="O23" t="str">
            <v>Sín</v>
          </cell>
          <cell r="P23" t="str">
            <v>Previsto</v>
          </cell>
          <cell r="Q23">
            <v>43094</v>
          </cell>
          <cell r="R23" t="str">
            <v>N/A</v>
          </cell>
          <cell r="S23" t="str">
            <v>N/A</v>
          </cell>
          <cell r="T23" t="str">
            <v>N/A</v>
          </cell>
          <cell r="U23">
            <v>43102</v>
          </cell>
          <cell r="V23" t="str">
            <v>N/A</v>
          </cell>
          <cell r="W23">
            <v>43117</v>
          </cell>
          <cell r="X23" t="str">
            <v>N/A</v>
          </cell>
          <cell r="Y23">
            <v>43137</v>
          </cell>
          <cell r="Z23" t="str">
            <v>N/A</v>
          </cell>
          <cell r="AA23" t="str">
            <v>N/A</v>
          </cell>
          <cell r="AB23" t="str">
            <v>N/A</v>
          </cell>
          <cell r="AC23">
            <v>43169</v>
          </cell>
          <cell r="AD23" t="str">
            <v>N/A</v>
          </cell>
          <cell r="AE23">
            <v>43475</v>
          </cell>
          <cell r="AF23" t="str">
            <v>N/A</v>
          </cell>
        </row>
        <row r="24">
          <cell r="G24" t="str">
            <v>Sistema de Control SETPC y Señalética</v>
          </cell>
          <cell r="H24" t="str">
            <v>Licitación Pública Nacional </v>
          </cell>
          <cell r="I24">
            <v>0</v>
          </cell>
          <cell r="J24">
            <v>0</v>
          </cell>
          <cell r="K24" t="str">
            <v>Contratación de Obras Menores</v>
          </cell>
          <cell r="L24" t="str">
            <v>Precios Unitarios</v>
          </cell>
          <cell r="M24">
            <v>11000000000</v>
          </cell>
          <cell r="N24">
            <v>0</v>
          </cell>
          <cell r="O24" t="str">
            <v>Sín</v>
          </cell>
          <cell r="P24" t="str">
            <v>Previsto</v>
          </cell>
          <cell r="Q24">
            <v>42680</v>
          </cell>
          <cell r="R24" t="str">
            <v>N/A</v>
          </cell>
          <cell r="S24" t="str">
            <v>N/A</v>
          </cell>
          <cell r="T24" t="str">
            <v>N/A</v>
          </cell>
          <cell r="U24">
            <v>42688</v>
          </cell>
          <cell r="V24" t="str">
            <v>N/A</v>
          </cell>
          <cell r="W24">
            <v>42703</v>
          </cell>
          <cell r="X24" t="str">
            <v>N/A</v>
          </cell>
          <cell r="Y24">
            <v>42723</v>
          </cell>
          <cell r="Z24" t="str">
            <v>N/A</v>
          </cell>
          <cell r="AA24" t="str">
            <v>N/A</v>
          </cell>
          <cell r="AB24" t="str">
            <v>N/A</v>
          </cell>
          <cell r="AC24">
            <v>42755</v>
          </cell>
          <cell r="AD24" t="str">
            <v>N/A</v>
          </cell>
          <cell r="AE24">
            <v>43120</v>
          </cell>
          <cell r="AF24" t="str">
            <v>N/A</v>
          </cell>
        </row>
        <row r="25">
          <cell r="G25" t="str">
            <v>Sistema de Control SETPC y Señalética</v>
          </cell>
          <cell r="H25" t="str">
            <v>Licitación Pública Nacional </v>
          </cell>
          <cell r="I25">
            <v>0</v>
          </cell>
          <cell r="J25">
            <v>0</v>
          </cell>
          <cell r="K25" t="str">
            <v>Contratación de Obras Menores</v>
          </cell>
          <cell r="L25" t="str">
            <v>Precios Unitarios</v>
          </cell>
          <cell r="M25">
            <v>18000000000</v>
          </cell>
          <cell r="N25">
            <v>0</v>
          </cell>
          <cell r="O25" t="str">
            <v>Sín</v>
          </cell>
          <cell r="P25" t="str">
            <v>Previsto</v>
          </cell>
          <cell r="Q25">
            <v>43066</v>
          </cell>
          <cell r="R25" t="str">
            <v>N/A</v>
          </cell>
          <cell r="S25" t="str">
            <v>N/A</v>
          </cell>
          <cell r="T25" t="str">
            <v>N/A</v>
          </cell>
          <cell r="U25">
            <v>43074</v>
          </cell>
          <cell r="V25" t="str">
            <v>N/A</v>
          </cell>
          <cell r="W25">
            <v>43089</v>
          </cell>
          <cell r="X25" t="str">
            <v>N/A</v>
          </cell>
          <cell r="Y25">
            <v>43109</v>
          </cell>
          <cell r="Z25" t="str">
            <v>N/A</v>
          </cell>
          <cell r="AA25" t="str">
            <v>N/A</v>
          </cell>
          <cell r="AB25" t="str">
            <v>N/A</v>
          </cell>
          <cell r="AC25">
            <v>43141</v>
          </cell>
          <cell r="AD25" t="str">
            <v>N/A</v>
          </cell>
          <cell r="AE25">
            <v>43506</v>
          </cell>
          <cell r="AF25" t="str">
            <v>N/A</v>
          </cell>
        </row>
        <row r="26">
          <cell r="G26" t="str">
            <v>PD4</v>
          </cell>
          <cell r="H26" t="str">
            <v>Licitación Pública Nacional </v>
          </cell>
          <cell r="I26">
            <v>0</v>
          </cell>
          <cell r="J26">
            <v>0</v>
          </cell>
          <cell r="K26" t="str">
            <v>Contratación de Obras Menores</v>
          </cell>
          <cell r="L26" t="str">
            <v>Precios Unitarios</v>
          </cell>
          <cell r="M26">
            <v>7940149046</v>
          </cell>
          <cell r="N26">
            <v>0</v>
          </cell>
          <cell r="O26" t="str">
            <v>Sín</v>
          </cell>
          <cell r="P26" t="str">
            <v>Previsto</v>
          </cell>
          <cell r="Q26">
            <v>42127</v>
          </cell>
          <cell r="R26" t="str">
            <v>N/A</v>
          </cell>
          <cell r="S26" t="str">
            <v>N/A</v>
          </cell>
          <cell r="T26" t="str">
            <v>N/A</v>
          </cell>
          <cell r="U26">
            <v>42135</v>
          </cell>
          <cell r="V26">
            <v>42009</v>
          </cell>
          <cell r="W26">
            <v>42150</v>
          </cell>
          <cell r="X26">
            <v>42027</v>
          </cell>
          <cell r="Y26">
            <v>42170</v>
          </cell>
          <cell r="Z26">
            <v>42041</v>
          </cell>
          <cell r="AA26" t="str">
            <v>N/A</v>
          </cell>
          <cell r="AB26" t="str">
            <v>N/A</v>
          </cell>
          <cell r="AC26">
            <v>42202</v>
          </cell>
          <cell r="AD26">
            <v>42068</v>
          </cell>
          <cell r="AE26">
            <v>42599</v>
          </cell>
          <cell r="AF26" t="str">
            <v>N/A</v>
          </cell>
        </row>
        <row r="27">
          <cell r="F27" t="str">
            <v>CONTRUCCION DEL PUENTE VEHICULAR UBICADO EN LA AVENIDA CIRCUNVALAR CON CALLE 41</v>
          </cell>
          <cell r="G27" t="str">
            <v>PV2</v>
          </cell>
          <cell r="H27">
            <v>0</v>
          </cell>
          <cell r="I27">
            <v>0</v>
          </cell>
          <cell r="J27">
            <v>0</v>
          </cell>
          <cell r="K27" t="str">
            <v>Contratación de Obras Menores</v>
          </cell>
          <cell r="L27" t="str">
            <v>Precios Unitarios</v>
          </cell>
          <cell r="M27">
            <v>1261803540.695112</v>
          </cell>
          <cell r="N27">
            <v>0</v>
          </cell>
          <cell r="O27" t="str">
            <v>Sín</v>
          </cell>
          <cell r="P27" t="str">
            <v>Previsto</v>
          </cell>
          <cell r="Q27">
            <v>43032</v>
          </cell>
          <cell r="R27" t="str">
            <v>N/A</v>
          </cell>
          <cell r="S27" t="str">
            <v>N/A</v>
          </cell>
          <cell r="T27" t="str">
            <v>N/A</v>
          </cell>
          <cell r="U27">
            <v>43040</v>
          </cell>
          <cell r="V27" t="str">
            <v>N/A</v>
          </cell>
          <cell r="W27">
            <v>43055</v>
          </cell>
          <cell r="X27" t="str">
            <v>N/A</v>
          </cell>
          <cell r="Y27">
            <v>43075</v>
          </cell>
          <cell r="Z27" t="str">
            <v>N/A</v>
          </cell>
          <cell r="AA27" t="str">
            <v>N/A</v>
          </cell>
          <cell r="AB27" t="str">
            <v>N/A</v>
          </cell>
          <cell r="AC27">
            <v>43107</v>
          </cell>
          <cell r="AD27" t="str">
            <v>N/A</v>
          </cell>
          <cell r="AE27">
            <v>43592</v>
          </cell>
          <cell r="AF27" t="str">
            <v>N/A</v>
          </cell>
        </row>
        <row r="28">
          <cell r="G28" t="str">
            <v>202-211</v>
          </cell>
          <cell r="H28" t="str">
            <v>Licitación Pública Nacional </v>
          </cell>
          <cell r="I28">
            <v>0</v>
          </cell>
          <cell r="J28">
            <v>0</v>
          </cell>
          <cell r="K28" t="str">
            <v>Contratación de Obras Menores</v>
          </cell>
          <cell r="L28" t="str">
            <v>Precios Unitarios</v>
          </cell>
          <cell r="M28">
            <v>4162509254</v>
          </cell>
          <cell r="N28">
            <v>0</v>
          </cell>
          <cell r="O28" t="str">
            <v>Sín</v>
          </cell>
          <cell r="P28" t="str">
            <v>Previsto</v>
          </cell>
          <cell r="Q28">
            <v>42451</v>
          </cell>
          <cell r="R28" t="str">
            <v>N/A</v>
          </cell>
          <cell r="S28" t="str">
            <v>N/A</v>
          </cell>
          <cell r="T28" t="str">
            <v>N/A</v>
          </cell>
          <cell r="U28">
            <v>42459</v>
          </cell>
          <cell r="V28" t="str">
            <v>N/A</v>
          </cell>
          <cell r="W28">
            <v>42474</v>
          </cell>
          <cell r="X28" t="str">
            <v>N/A</v>
          </cell>
          <cell r="Y28">
            <v>42494</v>
          </cell>
          <cell r="Z28" t="str">
            <v>N/A</v>
          </cell>
          <cell r="AA28" t="str">
            <v>N/A</v>
          </cell>
          <cell r="AB28" t="str">
            <v>N/A</v>
          </cell>
          <cell r="AC28">
            <v>42526</v>
          </cell>
          <cell r="AD28" t="str">
            <v>N/A</v>
          </cell>
          <cell r="AE28">
            <v>42709</v>
          </cell>
          <cell r="AF28" t="str">
            <v>N/A</v>
          </cell>
        </row>
        <row r="29">
          <cell r="G29" t="str">
            <v>207-208-209-210</v>
          </cell>
          <cell r="H29" t="str">
            <v>Licitación Pública Nacional </v>
          </cell>
          <cell r="I29">
            <v>0</v>
          </cell>
          <cell r="J29">
            <v>0</v>
          </cell>
          <cell r="K29" t="str">
            <v>Contratación de Obras Menores</v>
          </cell>
          <cell r="L29" t="str">
            <v>Precios Unitarios</v>
          </cell>
          <cell r="M29">
            <v>6940000000</v>
          </cell>
          <cell r="N29">
            <v>0</v>
          </cell>
          <cell r="O29" t="str">
            <v>Sín</v>
          </cell>
          <cell r="P29" t="str">
            <v>Previsto</v>
          </cell>
          <cell r="Q29">
            <v>42877</v>
          </cell>
          <cell r="R29" t="str">
            <v>N/A</v>
          </cell>
          <cell r="S29" t="str">
            <v>N/A</v>
          </cell>
          <cell r="T29" t="str">
            <v>N/A</v>
          </cell>
          <cell r="U29">
            <v>42885</v>
          </cell>
          <cell r="V29" t="str">
            <v>N/A</v>
          </cell>
          <cell r="W29">
            <v>42900</v>
          </cell>
          <cell r="X29" t="str">
            <v>N/A</v>
          </cell>
          <cell r="Y29">
            <v>42920</v>
          </cell>
          <cell r="Z29" t="str">
            <v>N/A</v>
          </cell>
          <cell r="AA29" t="str">
            <v>N/A</v>
          </cell>
          <cell r="AB29" t="str">
            <v>N/A</v>
          </cell>
          <cell r="AC29">
            <v>42952</v>
          </cell>
          <cell r="AD29" t="str">
            <v>N/A</v>
          </cell>
          <cell r="AE29">
            <v>43256</v>
          </cell>
          <cell r="AF29" t="str">
            <v>N/A</v>
          </cell>
        </row>
        <row r="30">
          <cell r="F30" t="str">
            <v>CONSTRUCCIÓN DEL INTERCAMBIADOR VIAL SUR 1 [IV 5]. PERTENECIENTE AL SISTEMA ESTRATÉGICO DE TRANSPORTE PUBLICO DE PASAJEROS "SETP" DE LA CIUDAD DE MONTERÍA.</v>
          </cell>
          <cell r="G30" t="str">
            <v>IV5</v>
          </cell>
          <cell r="H30" t="str">
            <v>Licitación Pública Nacional </v>
          </cell>
          <cell r="I30">
            <v>0</v>
          </cell>
          <cell r="J30">
            <v>0</v>
          </cell>
          <cell r="K30" t="str">
            <v>Contratación de Obras Menores</v>
          </cell>
          <cell r="L30" t="str">
            <v>Precios Unitarios</v>
          </cell>
          <cell r="M30">
            <v>3823754163</v>
          </cell>
          <cell r="N30">
            <v>0</v>
          </cell>
          <cell r="O30" t="str">
            <v>Sín</v>
          </cell>
          <cell r="P30" t="str">
            <v>Previsto</v>
          </cell>
          <cell r="Q30">
            <v>42299</v>
          </cell>
          <cell r="R30" t="str">
            <v>N/A</v>
          </cell>
          <cell r="S30" t="str">
            <v>N/A</v>
          </cell>
          <cell r="T30" t="str">
            <v>N/A</v>
          </cell>
          <cell r="U30">
            <v>42307</v>
          </cell>
          <cell r="V30" t="str">
            <v>N/A</v>
          </cell>
          <cell r="W30">
            <v>42322</v>
          </cell>
          <cell r="X30" t="str">
            <v>N/A</v>
          </cell>
          <cell r="Y30">
            <v>42342</v>
          </cell>
          <cell r="Z30" t="str">
            <v>N/A</v>
          </cell>
          <cell r="AA30" t="str">
            <v>N/A</v>
          </cell>
          <cell r="AB30" t="str">
            <v>N/A</v>
          </cell>
          <cell r="AC30">
            <v>42374</v>
          </cell>
          <cell r="AD30">
            <v>42369</v>
          </cell>
          <cell r="AE30">
            <v>42618</v>
          </cell>
          <cell r="AF30" t="str">
            <v>N/A</v>
          </cell>
        </row>
        <row r="31">
          <cell r="G31">
            <v>203</v>
          </cell>
          <cell r="H31" t="str">
            <v>Licitación Pública Nacional </v>
          </cell>
          <cell r="I31">
            <v>0</v>
          </cell>
          <cell r="J31">
            <v>0</v>
          </cell>
          <cell r="K31" t="str">
            <v>Contratación de Obras Menores</v>
          </cell>
          <cell r="L31" t="str">
            <v>Precios Unitarios</v>
          </cell>
          <cell r="M31">
            <v>2000000000</v>
          </cell>
          <cell r="N31">
            <v>0</v>
          </cell>
          <cell r="O31" t="str">
            <v>Sín</v>
          </cell>
          <cell r="P31" t="str">
            <v>Previsto</v>
          </cell>
          <cell r="Q31">
            <v>43125</v>
          </cell>
          <cell r="R31" t="str">
            <v>N/A</v>
          </cell>
          <cell r="S31" t="str">
            <v>N/A</v>
          </cell>
          <cell r="T31" t="str">
            <v>N/A</v>
          </cell>
          <cell r="U31">
            <v>43133</v>
          </cell>
          <cell r="V31" t="str">
            <v>N/A</v>
          </cell>
          <cell r="W31">
            <v>43148</v>
          </cell>
          <cell r="X31" t="str">
            <v>N/A</v>
          </cell>
          <cell r="Y31">
            <v>43168</v>
          </cell>
          <cell r="Z31" t="str">
            <v>N/A</v>
          </cell>
          <cell r="AA31" t="str">
            <v>N/A</v>
          </cell>
          <cell r="AB31" t="str">
            <v>N/A</v>
          </cell>
          <cell r="AC31">
            <v>43200</v>
          </cell>
          <cell r="AD31" t="str">
            <v>N/A</v>
          </cell>
          <cell r="AE31">
            <v>43383</v>
          </cell>
          <cell r="AF31" t="str">
            <v>N/A</v>
          </cell>
        </row>
        <row r="32">
          <cell r="G32" t="str">
            <v>76 - 77 - 78 - 9 - 231-232-233</v>
          </cell>
          <cell r="H32" t="str">
            <v>Licitación Pública Nacional </v>
          </cell>
          <cell r="I32">
            <v>0</v>
          </cell>
          <cell r="J32">
            <v>0</v>
          </cell>
          <cell r="K32" t="str">
            <v>Contratación de Obras Menores</v>
          </cell>
          <cell r="L32" t="str">
            <v>Precios Unitarios</v>
          </cell>
          <cell r="M32">
            <v>4805182695</v>
          </cell>
          <cell r="N32">
            <v>0</v>
          </cell>
          <cell r="O32" t="str">
            <v>Sín</v>
          </cell>
          <cell r="P32" t="str">
            <v>Previsto</v>
          </cell>
          <cell r="Q32">
            <v>42553</v>
          </cell>
          <cell r="R32" t="str">
            <v>N/A</v>
          </cell>
          <cell r="S32" t="str">
            <v>N/A</v>
          </cell>
          <cell r="T32" t="str">
            <v>N/A</v>
          </cell>
          <cell r="U32">
            <v>42561</v>
          </cell>
          <cell r="V32" t="str">
            <v>N/A</v>
          </cell>
          <cell r="W32">
            <v>42576</v>
          </cell>
          <cell r="X32" t="str">
            <v>N/A</v>
          </cell>
          <cell r="Y32">
            <v>42596</v>
          </cell>
          <cell r="Z32" t="str">
            <v>N/A</v>
          </cell>
          <cell r="AA32" t="str">
            <v>N/A</v>
          </cell>
          <cell r="AB32" t="str">
            <v>N/A</v>
          </cell>
          <cell r="AC32">
            <v>42628</v>
          </cell>
          <cell r="AD32" t="str">
            <v>N/A</v>
          </cell>
          <cell r="AE32">
            <v>42840</v>
          </cell>
          <cell r="AF32" t="str">
            <v>N/A</v>
          </cell>
        </row>
        <row r="33">
          <cell r="G33" t="str">
            <v>81-83-96-123-124 Y PP - 3</v>
          </cell>
          <cell r="H33" t="str">
            <v>Licitación Pública Nacional </v>
          </cell>
          <cell r="I33">
            <v>0</v>
          </cell>
          <cell r="J33">
            <v>0</v>
          </cell>
          <cell r="K33" t="str">
            <v>Contratación de Obras Menores</v>
          </cell>
          <cell r="L33" t="str">
            <v>Precios Unitarios</v>
          </cell>
          <cell r="M33">
            <v>3345493462</v>
          </cell>
          <cell r="N33">
            <v>0</v>
          </cell>
          <cell r="O33" t="str">
            <v>Sín</v>
          </cell>
          <cell r="P33" t="str">
            <v>Previsto</v>
          </cell>
          <cell r="Q33">
            <v>42583</v>
          </cell>
          <cell r="R33" t="str">
            <v>N/A</v>
          </cell>
          <cell r="S33" t="str">
            <v>N/A</v>
          </cell>
          <cell r="T33" t="str">
            <v>N/A</v>
          </cell>
          <cell r="U33">
            <v>42591</v>
          </cell>
          <cell r="V33" t="str">
            <v>N/A</v>
          </cell>
          <cell r="W33">
            <v>42606</v>
          </cell>
          <cell r="X33" t="str">
            <v>N/A</v>
          </cell>
          <cell r="Y33">
            <v>42626</v>
          </cell>
          <cell r="Z33" t="str">
            <v>N/A</v>
          </cell>
          <cell r="AA33" t="str">
            <v>N/A</v>
          </cell>
          <cell r="AB33" t="str">
            <v>N/A</v>
          </cell>
          <cell r="AC33">
            <v>42658</v>
          </cell>
          <cell r="AD33" t="str">
            <v>N/A</v>
          </cell>
          <cell r="AE33">
            <v>42870</v>
          </cell>
          <cell r="AF33" t="str">
            <v>N/A</v>
          </cell>
        </row>
        <row r="34">
          <cell r="G34">
            <v>8</v>
          </cell>
          <cell r="H34" t="str">
            <v>Licitación Pública Nacional </v>
          </cell>
          <cell r="I34">
            <v>0</v>
          </cell>
          <cell r="J34">
            <v>0</v>
          </cell>
          <cell r="K34" t="str">
            <v>Contratación de Obras Menores</v>
          </cell>
          <cell r="L34" t="str">
            <v>Precios Unitarios</v>
          </cell>
          <cell r="M34">
            <v>0</v>
          </cell>
          <cell r="N34">
            <v>0</v>
          </cell>
          <cell r="O34" t="str">
            <v>Sín</v>
          </cell>
          <cell r="P34" t="str">
            <v>Previsto</v>
          </cell>
          <cell r="Q34" t="str">
            <v>N/A</v>
          </cell>
          <cell r="R34" t="str">
            <v>N/A</v>
          </cell>
          <cell r="S34" t="str">
            <v>N/A</v>
          </cell>
          <cell r="T34" t="str">
            <v>N/A</v>
          </cell>
          <cell r="U34" t="str">
            <v>N/A</v>
          </cell>
          <cell r="V34" t="str">
            <v>N/A</v>
          </cell>
          <cell r="W34" t="str">
            <v>N/A</v>
          </cell>
          <cell r="X34" t="str">
            <v>N/A</v>
          </cell>
          <cell r="Y34" t="str">
            <v>N/A</v>
          </cell>
          <cell r="Z34" t="str">
            <v>N/A</v>
          </cell>
          <cell r="AA34" t="str">
            <v>N/A</v>
          </cell>
          <cell r="AB34" t="str">
            <v>N/A</v>
          </cell>
          <cell r="AC34" t="str">
            <v>N/A</v>
          </cell>
          <cell r="AD34" t="str">
            <v>N/A</v>
          </cell>
          <cell r="AE34" t="str">
            <v>N/A</v>
          </cell>
          <cell r="AF34" t="str">
            <v>N/A</v>
          </cell>
        </row>
        <row r="35">
          <cell r="G35">
            <v>15</v>
          </cell>
          <cell r="H35" t="str">
            <v>Licitación Pública Nacional </v>
          </cell>
          <cell r="I35">
            <v>0</v>
          </cell>
          <cell r="J35" t="str">
            <v>CONTRATO DE OBRA N° 01 - 03</v>
          </cell>
          <cell r="K35" t="str">
            <v>Contratación de Obras Menores</v>
          </cell>
          <cell r="L35" t="str">
            <v>Precios Unitarios</v>
          </cell>
          <cell r="M35">
            <v>322461955</v>
          </cell>
          <cell r="N35">
            <v>0</v>
          </cell>
          <cell r="O35" t="str">
            <v>Sín</v>
          </cell>
          <cell r="P35" t="str">
            <v>Previsto</v>
          </cell>
          <cell r="Q35" t="str">
            <v>N/A</v>
          </cell>
          <cell r="R35" t="str">
            <v>N/A</v>
          </cell>
          <cell r="S35" t="str">
            <v>N/A</v>
          </cell>
          <cell r="T35" t="str">
            <v>N/A</v>
          </cell>
          <cell r="U35" t="str">
            <v>N/A</v>
          </cell>
          <cell r="V35" t="str">
            <v>N/A</v>
          </cell>
          <cell r="W35" t="str">
            <v>N/A</v>
          </cell>
          <cell r="X35" t="str">
            <v>N/A</v>
          </cell>
          <cell r="Y35" t="str">
            <v>N/A</v>
          </cell>
          <cell r="Z35" t="str">
            <v>N/A</v>
          </cell>
          <cell r="AA35" t="str">
            <v>N/A</v>
          </cell>
          <cell r="AB35" t="str">
            <v>N/A</v>
          </cell>
          <cell r="AC35" t="str">
            <v>N/A</v>
          </cell>
          <cell r="AD35" t="str">
            <v>N/A</v>
          </cell>
          <cell r="AE35" t="str">
            <v>N/A</v>
          </cell>
          <cell r="AF35" t="str">
            <v>N/A</v>
          </cell>
        </row>
        <row r="36">
          <cell r="G36">
            <v>54</v>
          </cell>
          <cell r="H36" t="str">
            <v>Licitación Pública Nacional </v>
          </cell>
          <cell r="I36">
            <v>0</v>
          </cell>
          <cell r="J36" t="str">
            <v>CONTRATO DE OBRA N° 01 - 03</v>
          </cell>
          <cell r="K36" t="str">
            <v>Contratación de Obras Menores</v>
          </cell>
          <cell r="L36" t="str">
            <v>Precios Unitarios</v>
          </cell>
          <cell r="M36">
            <v>527430986</v>
          </cell>
          <cell r="N36">
            <v>0</v>
          </cell>
          <cell r="O36" t="str">
            <v>Sín</v>
          </cell>
          <cell r="P36" t="str">
            <v>Previsto</v>
          </cell>
          <cell r="Q36" t="str">
            <v>N/A</v>
          </cell>
          <cell r="R36" t="str">
            <v>N/A</v>
          </cell>
          <cell r="S36" t="str">
            <v>N/A</v>
          </cell>
          <cell r="T36" t="str">
            <v>N/A</v>
          </cell>
          <cell r="U36" t="str">
            <v>N/A</v>
          </cell>
          <cell r="V36" t="str">
            <v>N/A</v>
          </cell>
          <cell r="W36" t="str">
            <v>N/A</v>
          </cell>
          <cell r="X36" t="str">
            <v>N/A</v>
          </cell>
          <cell r="Y36" t="str">
            <v>N/A</v>
          </cell>
          <cell r="Z36" t="str">
            <v>N/A</v>
          </cell>
          <cell r="AA36" t="str">
            <v>N/A</v>
          </cell>
          <cell r="AB36" t="str">
            <v>N/A</v>
          </cell>
          <cell r="AC36" t="str">
            <v>N/A</v>
          </cell>
          <cell r="AD36" t="str">
            <v>N/A</v>
          </cell>
          <cell r="AE36" t="str">
            <v>N/A</v>
          </cell>
          <cell r="AF36" t="str">
            <v>N/A</v>
          </cell>
        </row>
        <row r="37">
          <cell r="G37">
            <v>120</v>
          </cell>
          <cell r="H37" t="str">
            <v>Licitación Pública Nacional </v>
          </cell>
          <cell r="I37">
            <v>0</v>
          </cell>
          <cell r="J37" t="str">
            <v>CONTRATO DE OBRA N° 01 - 03</v>
          </cell>
          <cell r="K37" t="str">
            <v>Contratación de Obras Menores</v>
          </cell>
          <cell r="L37" t="str">
            <v>Precios Unitarios</v>
          </cell>
          <cell r="M37">
            <v>946868429</v>
          </cell>
          <cell r="N37">
            <v>0</v>
          </cell>
          <cell r="O37" t="str">
            <v>Sín</v>
          </cell>
          <cell r="P37" t="str">
            <v>Previsto</v>
          </cell>
          <cell r="Q37" t="str">
            <v>N/A</v>
          </cell>
          <cell r="R37" t="str">
            <v>N/A</v>
          </cell>
          <cell r="S37" t="str">
            <v>N/A</v>
          </cell>
          <cell r="T37" t="str">
            <v>N/A</v>
          </cell>
          <cell r="U37" t="str">
            <v>N/A</v>
          </cell>
          <cell r="V37" t="str">
            <v>N/A</v>
          </cell>
          <cell r="W37" t="str">
            <v>N/A</v>
          </cell>
          <cell r="X37" t="str">
            <v>N/A</v>
          </cell>
          <cell r="Y37" t="str">
            <v>N/A</v>
          </cell>
          <cell r="Z37" t="str">
            <v>N/A</v>
          </cell>
          <cell r="AA37" t="str">
            <v>N/A</v>
          </cell>
          <cell r="AB37" t="str">
            <v>N/A</v>
          </cell>
          <cell r="AC37" t="str">
            <v>N/A</v>
          </cell>
          <cell r="AD37" t="str">
            <v>N/A</v>
          </cell>
          <cell r="AE37" t="str">
            <v>N/A</v>
          </cell>
          <cell r="AF37" t="str">
            <v>N/A</v>
          </cell>
        </row>
        <row r="38">
          <cell r="G38">
            <v>106</v>
          </cell>
          <cell r="H38" t="str">
            <v>Licitación Pública Nacional </v>
          </cell>
          <cell r="I38">
            <v>0</v>
          </cell>
          <cell r="J38" t="str">
            <v>CONTRATO DE OBRA N° 01 - 03</v>
          </cell>
          <cell r="K38" t="str">
            <v>Contratación de Obras Menores</v>
          </cell>
          <cell r="L38" t="str">
            <v>Precios Unitarios</v>
          </cell>
          <cell r="M38">
            <v>742463191</v>
          </cell>
          <cell r="N38">
            <v>0</v>
          </cell>
          <cell r="O38" t="str">
            <v>Sín</v>
          </cell>
          <cell r="P38" t="str">
            <v>Previsto</v>
          </cell>
          <cell r="Q38" t="str">
            <v>N/A</v>
          </cell>
          <cell r="R38" t="str">
            <v>N/A</v>
          </cell>
          <cell r="S38" t="str">
            <v>N/A</v>
          </cell>
          <cell r="T38" t="str">
            <v>N/A</v>
          </cell>
          <cell r="U38" t="str">
            <v>N/A</v>
          </cell>
          <cell r="V38" t="str">
            <v>N/A</v>
          </cell>
          <cell r="W38" t="str">
            <v>N/A</v>
          </cell>
          <cell r="X38" t="str">
            <v>N/A</v>
          </cell>
          <cell r="Y38" t="str">
            <v>N/A</v>
          </cell>
          <cell r="Z38" t="str">
            <v>N/A</v>
          </cell>
          <cell r="AA38" t="str">
            <v>N/A</v>
          </cell>
          <cell r="AB38" t="str">
            <v>N/A</v>
          </cell>
          <cell r="AC38" t="str">
            <v>N/A</v>
          </cell>
          <cell r="AD38" t="str">
            <v>N/A</v>
          </cell>
          <cell r="AE38" t="str">
            <v>N/A</v>
          </cell>
          <cell r="AF38" t="str">
            <v>N/A</v>
          </cell>
        </row>
        <row r="39">
          <cell r="G39" t="str">
            <v>226-227-228</v>
          </cell>
          <cell r="H39" t="str">
            <v>Licitación Pública Nacional </v>
          </cell>
          <cell r="I39">
            <v>0</v>
          </cell>
          <cell r="J39" t="str">
            <v>CONTRATO DE OBRA Nº 002 - 2011</v>
          </cell>
          <cell r="K39" t="str">
            <v>Contratación de Obras Menores</v>
          </cell>
          <cell r="L39" t="str">
            <v>Precios Unitarios</v>
          </cell>
          <cell r="M39">
            <v>2324987609</v>
          </cell>
          <cell r="N39">
            <v>0</v>
          </cell>
          <cell r="O39" t="str">
            <v>Sín</v>
          </cell>
          <cell r="P39" t="str">
            <v>Previsto</v>
          </cell>
          <cell r="Q39" t="str">
            <v>N/A</v>
          </cell>
          <cell r="R39" t="str">
            <v>N/A</v>
          </cell>
          <cell r="S39" t="str">
            <v>N/A</v>
          </cell>
          <cell r="T39" t="str">
            <v>N/A</v>
          </cell>
          <cell r="U39" t="str">
            <v>N/A</v>
          </cell>
          <cell r="V39" t="str">
            <v>N/A</v>
          </cell>
          <cell r="W39" t="str">
            <v>N/A</v>
          </cell>
          <cell r="X39" t="str">
            <v>N/A</v>
          </cell>
          <cell r="Y39" t="str">
            <v>N/A</v>
          </cell>
          <cell r="Z39" t="str">
            <v>N/A</v>
          </cell>
          <cell r="AA39" t="str">
            <v>N/A</v>
          </cell>
          <cell r="AB39" t="str">
            <v>N/A</v>
          </cell>
          <cell r="AC39" t="str">
            <v>N/A</v>
          </cell>
          <cell r="AD39" t="str">
            <v>N/A</v>
          </cell>
          <cell r="AE39" t="str">
            <v>N/A</v>
          </cell>
          <cell r="AF39" t="str">
            <v>N/A</v>
          </cell>
        </row>
        <row r="40">
          <cell r="G40">
            <v>119</v>
          </cell>
          <cell r="H40" t="str">
            <v>Licitación Pública Nacional </v>
          </cell>
          <cell r="I40">
            <v>0</v>
          </cell>
          <cell r="J40" t="str">
            <v>CONTRATO DE OBRA N° 01 - 03</v>
          </cell>
          <cell r="K40" t="str">
            <v>Contratación de Obras Menores</v>
          </cell>
          <cell r="L40" t="str">
            <v>Precios Unitarios</v>
          </cell>
          <cell r="M40">
            <v>5716957088</v>
          </cell>
          <cell r="N40">
            <v>0</v>
          </cell>
          <cell r="O40" t="str">
            <v>Sín</v>
          </cell>
          <cell r="P40" t="str">
            <v>Previsto</v>
          </cell>
          <cell r="Q40" t="str">
            <v>N/A</v>
          </cell>
          <cell r="R40" t="str">
            <v>N/A</v>
          </cell>
          <cell r="S40" t="str">
            <v>N/A</v>
          </cell>
          <cell r="T40" t="str">
            <v>N/A</v>
          </cell>
          <cell r="U40" t="str">
            <v>N/A</v>
          </cell>
          <cell r="V40" t="str">
            <v>N/A</v>
          </cell>
          <cell r="W40" t="str">
            <v>N/A</v>
          </cell>
          <cell r="X40" t="str">
            <v>N/A</v>
          </cell>
          <cell r="Y40" t="str">
            <v>N/A</v>
          </cell>
          <cell r="Z40" t="str">
            <v>N/A</v>
          </cell>
          <cell r="AA40" t="str">
            <v>N/A</v>
          </cell>
          <cell r="AB40" t="str">
            <v>N/A</v>
          </cell>
          <cell r="AC40" t="str">
            <v>N/A</v>
          </cell>
          <cell r="AD40" t="str">
            <v>N/A</v>
          </cell>
          <cell r="AE40" t="str">
            <v>N/A</v>
          </cell>
          <cell r="AF40" t="str">
            <v>N/A</v>
          </cell>
        </row>
        <row r="41">
          <cell r="G41" t="str">
            <v>201-216</v>
          </cell>
          <cell r="H41" t="str">
            <v>Licitación Pública Nacional </v>
          </cell>
          <cell r="I41">
            <v>0</v>
          </cell>
          <cell r="J41" t="str">
            <v>CONTRATO DE OBRA N° 005 - 2010</v>
          </cell>
          <cell r="K41" t="str">
            <v>Contratación de Obras Menores</v>
          </cell>
          <cell r="L41" t="str">
            <v>Precios Unitarios</v>
          </cell>
          <cell r="M41">
            <v>5699590861</v>
          </cell>
          <cell r="N41">
            <v>0</v>
          </cell>
          <cell r="O41" t="str">
            <v>Sín</v>
          </cell>
          <cell r="P41" t="str">
            <v>Previsto</v>
          </cell>
          <cell r="Q41" t="str">
            <v>N/A</v>
          </cell>
          <cell r="R41" t="str">
            <v>N/A</v>
          </cell>
          <cell r="S41" t="str">
            <v>N/A</v>
          </cell>
          <cell r="T41" t="str">
            <v>N/A</v>
          </cell>
          <cell r="U41" t="str">
            <v>N/A</v>
          </cell>
          <cell r="V41" t="str">
            <v>N/A</v>
          </cell>
          <cell r="W41" t="str">
            <v>N/A</v>
          </cell>
          <cell r="X41" t="str">
            <v>N/A</v>
          </cell>
          <cell r="Y41" t="str">
            <v>N/A</v>
          </cell>
          <cell r="Z41" t="str">
            <v>N/A</v>
          </cell>
          <cell r="AA41" t="str">
            <v>N/A</v>
          </cell>
          <cell r="AB41" t="str">
            <v>N/A</v>
          </cell>
          <cell r="AC41" t="str">
            <v>N/A</v>
          </cell>
          <cell r="AD41" t="str">
            <v>N/A</v>
          </cell>
          <cell r="AE41" t="str">
            <v>N/A</v>
          </cell>
          <cell r="AF41" t="str">
            <v>N/A</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G43" t="str">
            <v>Par1-Par2-Par3-Par4</v>
          </cell>
          <cell r="H43" t="str">
            <v>Licitación Pública Nacional </v>
          </cell>
          <cell r="I43">
            <v>0</v>
          </cell>
          <cell r="J43">
            <v>0</v>
          </cell>
          <cell r="K43" t="str">
            <v>Contratación de Obras Menores</v>
          </cell>
          <cell r="L43" t="str">
            <v>Precios Unitarios</v>
          </cell>
          <cell r="M43">
            <v>3035000000</v>
          </cell>
          <cell r="N43">
            <v>0</v>
          </cell>
          <cell r="O43" t="str">
            <v>Sín</v>
          </cell>
          <cell r="P43" t="str">
            <v>Previsto</v>
          </cell>
          <cell r="Q43">
            <v>42835</v>
          </cell>
          <cell r="R43" t="str">
            <v>N/A</v>
          </cell>
          <cell r="S43" t="str">
            <v>N/A</v>
          </cell>
          <cell r="T43" t="str">
            <v>N/A</v>
          </cell>
          <cell r="U43">
            <v>42843</v>
          </cell>
          <cell r="V43" t="str">
            <v>N/A</v>
          </cell>
          <cell r="W43">
            <v>42858</v>
          </cell>
          <cell r="X43" t="str">
            <v>N/A</v>
          </cell>
          <cell r="Y43">
            <v>42878</v>
          </cell>
          <cell r="Z43" t="str">
            <v>N/A</v>
          </cell>
          <cell r="AA43" t="str">
            <v>N/A</v>
          </cell>
          <cell r="AB43" t="str">
            <v>N/A</v>
          </cell>
          <cell r="AC43">
            <v>42910</v>
          </cell>
          <cell r="AD43" t="str">
            <v>N/A</v>
          </cell>
          <cell r="AE43">
            <v>43063</v>
          </cell>
          <cell r="AF43" t="str">
            <v>N/A</v>
          </cell>
        </row>
        <row r="44">
          <cell r="G44" t="str">
            <v>PD1</v>
          </cell>
          <cell r="H44" t="str">
            <v>Licitación Pública Nacional </v>
          </cell>
          <cell r="I44">
            <v>0</v>
          </cell>
          <cell r="J44">
            <v>0</v>
          </cell>
          <cell r="K44" t="str">
            <v>Contratación de Obras Menores</v>
          </cell>
          <cell r="L44" t="str">
            <v>Precios Unitarios</v>
          </cell>
          <cell r="M44">
            <v>500000000</v>
          </cell>
          <cell r="N44">
            <v>0</v>
          </cell>
          <cell r="O44" t="str">
            <v>Sín</v>
          </cell>
          <cell r="P44" t="str">
            <v>Previsto</v>
          </cell>
          <cell r="Q44">
            <v>43087</v>
          </cell>
          <cell r="R44" t="str">
            <v>N/A</v>
          </cell>
          <cell r="S44" t="str">
            <v>N/A</v>
          </cell>
          <cell r="T44" t="str">
            <v>N/A</v>
          </cell>
          <cell r="U44">
            <v>43095</v>
          </cell>
          <cell r="V44" t="str">
            <v>N/A</v>
          </cell>
          <cell r="W44">
            <v>43110</v>
          </cell>
          <cell r="X44" t="str">
            <v>N/A</v>
          </cell>
          <cell r="Y44">
            <v>43130</v>
          </cell>
          <cell r="Z44" t="str">
            <v>N/A</v>
          </cell>
          <cell r="AA44" t="str">
            <v>N/A</v>
          </cell>
          <cell r="AB44" t="str">
            <v>N/A</v>
          </cell>
          <cell r="AC44">
            <v>43162</v>
          </cell>
          <cell r="AD44" t="str">
            <v>N/A</v>
          </cell>
          <cell r="AE44">
            <v>43407</v>
          </cell>
          <cell r="AF44" t="str">
            <v>N/A</v>
          </cell>
        </row>
        <row r="45">
          <cell r="G45" t="str">
            <v>PD2</v>
          </cell>
          <cell r="H45" t="str">
            <v>Licitación Pública Nacional </v>
          </cell>
          <cell r="I45">
            <v>0</v>
          </cell>
          <cell r="J45">
            <v>0</v>
          </cell>
          <cell r="K45" t="str">
            <v>Contratación de Obras Menores</v>
          </cell>
          <cell r="L45" t="str">
            <v>Precios Unitarios</v>
          </cell>
          <cell r="M45">
            <v>350000000</v>
          </cell>
          <cell r="N45">
            <v>0</v>
          </cell>
          <cell r="O45" t="str">
            <v>Sín</v>
          </cell>
          <cell r="P45" t="str">
            <v>Previsto</v>
          </cell>
          <cell r="Q45">
            <v>43051</v>
          </cell>
          <cell r="R45" t="str">
            <v>N/A</v>
          </cell>
          <cell r="S45" t="str">
            <v>N/A</v>
          </cell>
          <cell r="T45" t="str">
            <v>N/A</v>
          </cell>
          <cell r="U45">
            <v>43059</v>
          </cell>
          <cell r="V45" t="str">
            <v>N/A</v>
          </cell>
          <cell r="W45">
            <v>43074</v>
          </cell>
          <cell r="X45" t="str">
            <v>N/A</v>
          </cell>
          <cell r="Y45">
            <v>43094</v>
          </cell>
          <cell r="Z45" t="str">
            <v>N/A</v>
          </cell>
          <cell r="AA45" t="str">
            <v>N/A</v>
          </cell>
          <cell r="AB45" t="str">
            <v>N/A</v>
          </cell>
          <cell r="AC45">
            <v>43126</v>
          </cell>
          <cell r="AD45" t="str">
            <v>N/A</v>
          </cell>
          <cell r="AE45">
            <v>43369</v>
          </cell>
          <cell r="AF45" t="str">
            <v>N/A</v>
          </cell>
        </row>
        <row r="46">
          <cell r="G46" t="str">
            <v>PD3</v>
          </cell>
          <cell r="H46" t="str">
            <v>Licitación Pública Nacional </v>
          </cell>
          <cell r="I46">
            <v>0</v>
          </cell>
          <cell r="J46">
            <v>0</v>
          </cell>
          <cell r="K46" t="str">
            <v>Contratación de Obras Menores</v>
          </cell>
          <cell r="L46" t="str">
            <v>Precios Unitarios</v>
          </cell>
          <cell r="M46">
            <v>500000000</v>
          </cell>
          <cell r="N46">
            <v>0</v>
          </cell>
          <cell r="O46" t="str">
            <v>Sín</v>
          </cell>
          <cell r="P46" t="str">
            <v>Previsto</v>
          </cell>
          <cell r="Q46">
            <v>43051</v>
          </cell>
          <cell r="R46" t="str">
            <v>N/A</v>
          </cell>
          <cell r="S46" t="str">
            <v>N/A</v>
          </cell>
          <cell r="T46" t="str">
            <v>N/A</v>
          </cell>
          <cell r="U46">
            <v>43059</v>
          </cell>
          <cell r="V46" t="str">
            <v>N/A</v>
          </cell>
          <cell r="W46">
            <v>43074</v>
          </cell>
          <cell r="X46" t="str">
            <v>N/A</v>
          </cell>
          <cell r="Y46">
            <v>43094</v>
          </cell>
          <cell r="Z46" t="str">
            <v>N/A</v>
          </cell>
          <cell r="AA46" t="str">
            <v>N/A</v>
          </cell>
          <cell r="AB46" t="str">
            <v>N/A</v>
          </cell>
          <cell r="AC46">
            <v>43126</v>
          </cell>
          <cell r="AD46" t="str">
            <v>N/A</v>
          </cell>
          <cell r="AE46">
            <v>43369</v>
          </cell>
          <cell r="AF46" t="str">
            <v>N/A</v>
          </cell>
        </row>
        <row r="47">
          <cell r="G47" t="str">
            <v>PD5</v>
          </cell>
          <cell r="H47" t="str">
            <v>Licitación Pública Nacional </v>
          </cell>
          <cell r="I47">
            <v>0</v>
          </cell>
          <cell r="J47">
            <v>0</v>
          </cell>
          <cell r="K47" t="str">
            <v>Contratación de Obras Menores</v>
          </cell>
          <cell r="L47" t="str">
            <v>Precios Unitarios</v>
          </cell>
          <cell r="M47">
            <v>350000000</v>
          </cell>
          <cell r="N47">
            <v>0</v>
          </cell>
          <cell r="O47" t="str">
            <v>Sín</v>
          </cell>
          <cell r="P47" t="str">
            <v>Previsto</v>
          </cell>
          <cell r="Q47">
            <v>43082</v>
          </cell>
          <cell r="R47" t="str">
            <v>N/A</v>
          </cell>
          <cell r="S47" t="str">
            <v>N/A</v>
          </cell>
          <cell r="T47" t="str">
            <v>N/A</v>
          </cell>
          <cell r="U47">
            <v>43090</v>
          </cell>
          <cell r="V47" t="str">
            <v>N/A</v>
          </cell>
          <cell r="W47">
            <v>43105</v>
          </cell>
          <cell r="X47" t="str">
            <v>N/A</v>
          </cell>
          <cell r="Y47">
            <v>43125</v>
          </cell>
          <cell r="Z47" t="str">
            <v>N/A</v>
          </cell>
          <cell r="AA47" t="str">
            <v>N/A</v>
          </cell>
          <cell r="AB47" t="str">
            <v>N/A</v>
          </cell>
          <cell r="AC47">
            <v>43157</v>
          </cell>
          <cell r="AD47" t="str">
            <v>N/A</v>
          </cell>
          <cell r="AE47">
            <v>43399</v>
          </cell>
          <cell r="AF47" t="str">
            <v>N/A</v>
          </cell>
        </row>
        <row r="48">
          <cell r="G48" t="str">
            <v>PD6</v>
          </cell>
          <cell r="H48" t="str">
            <v>Licitación Pública Nacional </v>
          </cell>
          <cell r="I48">
            <v>0</v>
          </cell>
          <cell r="J48">
            <v>0</v>
          </cell>
          <cell r="K48" t="str">
            <v>Contratación de Obras Menores</v>
          </cell>
          <cell r="L48" t="str">
            <v>Precios Unitarios</v>
          </cell>
          <cell r="M48">
            <v>350000000</v>
          </cell>
          <cell r="N48">
            <v>0</v>
          </cell>
          <cell r="O48" t="str">
            <v>Sín</v>
          </cell>
          <cell r="P48" t="str">
            <v>Previsto</v>
          </cell>
          <cell r="Q48">
            <v>43118</v>
          </cell>
          <cell r="R48" t="str">
            <v>N/A</v>
          </cell>
          <cell r="S48" t="str">
            <v>N/A</v>
          </cell>
          <cell r="T48" t="str">
            <v>N/A</v>
          </cell>
          <cell r="U48">
            <v>43126</v>
          </cell>
          <cell r="V48" t="str">
            <v>N/A</v>
          </cell>
          <cell r="W48">
            <v>43141</v>
          </cell>
          <cell r="X48" t="str">
            <v>N/A</v>
          </cell>
          <cell r="Y48">
            <v>43161</v>
          </cell>
          <cell r="Z48" t="str">
            <v>N/A</v>
          </cell>
          <cell r="AA48" t="str">
            <v>N/A</v>
          </cell>
          <cell r="AB48" t="str">
            <v>N/A</v>
          </cell>
          <cell r="AC48">
            <v>43193</v>
          </cell>
          <cell r="AD48" t="str">
            <v>N/A</v>
          </cell>
          <cell r="AE48">
            <v>43437</v>
          </cell>
          <cell r="AF48" t="str">
            <v>N/A</v>
          </cell>
        </row>
        <row r="49">
          <cell r="F49" t="str">
            <v>PATIO 1</v>
          </cell>
          <cell r="G49" t="str">
            <v>Pat1</v>
          </cell>
          <cell r="H49" t="str">
            <v>Licitación Pública Nacional </v>
          </cell>
          <cell r="I49">
            <v>0</v>
          </cell>
          <cell r="J49">
            <v>0</v>
          </cell>
          <cell r="K49" t="str">
            <v>Contratación de Obras Menores</v>
          </cell>
          <cell r="L49" t="str">
            <v>Precios Unitarios</v>
          </cell>
          <cell r="M49">
            <v>4500000000</v>
          </cell>
          <cell r="N49">
            <v>0</v>
          </cell>
          <cell r="O49" t="str">
            <v>Sín</v>
          </cell>
          <cell r="P49" t="str">
            <v>Previsto</v>
          </cell>
          <cell r="Q49">
            <v>43033</v>
          </cell>
          <cell r="R49" t="str">
            <v>N/A</v>
          </cell>
          <cell r="S49" t="str">
            <v>N/A</v>
          </cell>
          <cell r="T49" t="str">
            <v>N/A</v>
          </cell>
          <cell r="U49">
            <v>43041</v>
          </cell>
          <cell r="V49" t="str">
            <v>N/A</v>
          </cell>
          <cell r="W49">
            <v>43056</v>
          </cell>
          <cell r="X49" t="str">
            <v>N/A</v>
          </cell>
          <cell r="Y49">
            <v>43076</v>
          </cell>
          <cell r="Z49" t="str">
            <v>N/A</v>
          </cell>
          <cell r="AA49" t="str">
            <v>N/A</v>
          </cell>
          <cell r="AB49" t="str">
            <v>N/A</v>
          </cell>
          <cell r="AC49">
            <v>43108</v>
          </cell>
          <cell r="AD49" t="str">
            <v>N/A</v>
          </cell>
          <cell r="AE49">
            <v>43351</v>
          </cell>
          <cell r="AF49" t="str">
            <v>N/A</v>
          </cell>
        </row>
        <row r="50">
          <cell r="G50" t="str">
            <v>Pat2</v>
          </cell>
          <cell r="H50" t="str">
            <v>Licitación Pública Nacional </v>
          </cell>
          <cell r="I50">
            <v>0</v>
          </cell>
          <cell r="J50">
            <v>0</v>
          </cell>
          <cell r="K50" t="str">
            <v>Contratación de Obras Menores</v>
          </cell>
          <cell r="L50" t="str">
            <v>Precios Unitarios</v>
          </cell>
          <cell r="M50">
            <v>0</v>
          </cell>
          <cell r="N50">
            <v>0</v>
          </cell>
          <cell r="O50" t="str">
            <v>Sín</v>
          </cell>
          <cell r="P50" t="str">
            <v>Previsto</v>
          </cell>
          <cell r="Q50">
            <v>43033</v>
          </cell>
          <cell r="R50" t="str">
            <v>N/A</v>
          </cell>
          <cell r="S50" t="str">
            <v>N/A</v>
          </cell>
          <cell r="T50" t="str">
            <v>N/A</v>
          </cell>
          <cell r="U50">
            <v>43041</v>
          </cell>
          <cell r="V50" t="str">
            <v>N/A</v>
          </cell>
          <cell r="W50">
            <v>43056</v>
          </cell>
          <cell r="X50" t="str">
            <v>N/A</v>
          </cell>
          <cell r="Y50">
            <v>43076</v>
          </cell>
          <cell r="Z50" t="str">
            <v>N/A</v>
          </cell>
          <cell r="AA50" t="str">
            <v>N/A</v>
          </cell>
          <cell r="AB50" t="str">
            <v>N/A</v>
          </cell>
          <cell r="AC50">
            <v>43108</v>
          </cell>
          <cell r="AD50" t="str">
            <v>N/A</v>
          </cell>
          <cell r="AE50">
            <v>43412</v>
          </cell>
          <cell r="AF50" t="str">
            <v>N/A</v>
          </cell>
        </row>
        <row r="51">
          <cell r="G51" t="str">
            <v>Pat3</v>
          </cell>
          <cell r="H51" t="str">
            <v>Licitación Pública Nacional </v>
          </cell>
          <cell r="I51">
            <v>0</v>
          </cell>
          <cell r="J51">
            <v>0</v>
          </cell>
          <cell r="K51" t="str">
            <v>Contratación de Obras Menores</v>
          </cell>
          <cell r="L51" t="str">
            <v>Precios Unitarios</v>
          </cell>
          <cell r="M51">
            <v>0</v>
          </cell>
          <cell r="N51">
            <v>0</v>
          </cell>
          <cell r="O51" t="str">
            <v>Sín</v>
          </cell>
          <cell r="P51" t="str">
            <v>Previsto</v>
          </cell>
          <cell r="Q51">
            <v>43030</v>
          </cell>
          <cell r="R51" t="str">
            <v>N/A</v>
          </cell>
          <cell r="S51" t="str">
            <v>N/A</v>
          </cell>
          <cell r="T51" t="str">
            <v>N/A</v>
          </cell>
          <cell r="U51">
            <v>43038</v>
          </cell>
          <cell r="V51" t="str">
            <v>N/A</v>
          </cell>
          <cell r="W51">
            <v>43053</v>
          </cell>
          <cell r="X51" t="str">
            <v>N/A</v>
          </cell>
          <cell r="Y51">
            <v>43073</v>
          </cell>
          <cell r="Z51" t="str">
            <v>N/A</v>
          </cell>
          <cell r="AA51" t="str">
            <v>N/A</v>
          </cell>
          <cell r="AB51" t="str">
            <v>N/A</v>
          </cell>
          <cell r="AC51">
            <v>43105</v>
          </cell>
          <cell r="AD51" t="str">
            <v>N/A</v>
          </cell>
          <cell r="AE51">
            <v>43409</v>
          </cell>
          <cell r="AF51" t="str">
            <v>N/A</v>
          </cell>
        </row>
        <row r="52">
          <cell r="G52" t="str">
            <v>Pat4</v>
          </cell>
          <cell r="H52" t="str">
            <v>Licitación Pública Nacional </v>
          </cell>
          <cell r="I52">
            <v>0</v>
          </cell>
          <cell r="J52">
            <v>0</v>
          </cell>
          <cell r="K52" t="str">
            <v>Contratación de Obras Menores</v>
          </cell>
          <cell r="L52" t="str">
            <v>Precios Unitarios</v>
          </cell>
          <cell r="M52">
            <v>0</v>
          </cell>
          <cell r="N52">
            <v>0</v>
          </cell>
          <cell r="O52" t="str">
            <v>Sín</v>
          </cell>
          <cell r="P52" t="str">
            <v>Previsto</v>
          </cell>
          <cell r="Q52">
            <v>43030</v>
          </cell>
          <cell r="R52" t="str">
            <v>N/A</v>
          </cell>
          <cell r="S52" t="str">
            <v>N/A</v>
          </cell>
          <cell r="T52" t="str">
            <v>N/A</v>
          </cell>
          <cell r="U52">
            <v>43038</v>
          </cell>
          <cell r="V52" t="str">
            <v>N/A</v>
          </cell>
          <cell r="W52">
            <v>43053</v>
          </cell>
          <cell r="X52" t="str">
            <v>N/A</v>
          </cell>
          <cell r="Y52">
            <v>43073</v>
          </cell>
          <cell r="Z52" t="str">
            <v>N/A</v>
          </cell>
          <cell r="AA52" t="str">
            <v>N/A</v>
          </cell>
          <cell r="AB52" t="str">
            <v>N/A</v>
          </cell>
          <cell r="AC52">
            <v>43105</v>
          </cell>
          <cell r="AD52" t="str">
            <v>N/A</v>
          </cell>
          <cell r="AE52">
            <v>43409</v>
          </cell>
          <cell r="AF52" t="str">
            <v>N/A</v>
          </cell>
        </row>
        <row r="53">
          <cell r="G53" t="str">
            <v>Ptn1</v>
          </cell>
          <cell r="H53" t="str">
            <v>Licitación Pública Nacional </v>
          </cell>
          <cell r="I53">
            <v>0</v>
          </cell>
          <cell r="J53">
            <v>0</v>
          </cell>
          <cell r="K53" t="str">
            <v>Contratación de Obras Menores</v>
          </cell>
          <cell r="L53" t="str">
            <v>Precios Unitarios</v>
          </cell>
          <cell r="M53">
            <v>0</v>
          </cell>
          <cell r="N53">
            <v>0</v>
          </cell>
          <cell r="O53" t="str">
            <v>Sín</v>
          </cell>
          <cell r="P53" t="str">
            <v>Previsto</v>
          </cell>
          <cell r="Q53" t="str">
            <v>N/A</v>
          </cell>
          <cell r="R53" t="str">
            <v>N/A</v>
          </cell>
          <cell r="S53" t="str">
            <v>N/A</v>
          </cell>
          <cell r="T53" t="str">
            <v>N/A</v>
          </cell>
          <cell r="U53" t="str">
            <v>N/A</v>
          </cell>
          <cell r="V53" t="str">
            <v>N/A</v>
          </cell>
          <cell r="W53" t="str">
            <v>N/A</v>
          </cell>
          <cell r="X53" t="str">
            <v>N/A</v>
          </cell>
          <cell r="Y53" t="str">
            <v>N/A</v>
          </cell>
          <cell r="Z53" t="str">
            <v>N/A</v>
          </cell>
          <cell r="AA53" t="str">
            <v>N/A</v>
          </cell>
          <cell r="AB53" t="str">
            <v>N/A</v>
          </cell>
          <cell r="AC53">
            <v>41182</v>
          </cell>
          <cell r="AD53" t="str">
            <v>N/A</v>
          </cell>
          <cell r="AE53">
            <v>41273</v>
          </cell>
          <cell r="AF53" t="str">
            <v>N/A</v>
          </cell>
        </row>
        <row r="54">
          <cell r="G54" t="str">
            <v>Ptn2</v>
          </cell>
          <cell r="H54" t="str">
            <v>Licitación Pública Nacional </v>
          </cell>
          <cell r="I54">
            <v>0</v>
          </cell>
          <cell r="J54">
            <v>0</v>
          </cell>
          <cell r="K54" t="str">
            <v>Contratación de Obras Menores</v>
          </cell>
          <cell r="L54" t="str">
            <v>Precios Unitarios</v>
          </cell>
          <cell r="M54">
            <v>0</v>
          </cell>
          <cell r="N54">
            <v>0</v>
          </cell>
          <cell r="O54" t="str">
            <v>Sín</v>
          </cell>
          <cell r="P54" t="str">
            <v>Previsto</v>
          </cell>
          <cell r="Q54" t="str">
            <v>N/A</v>
          </cell>
          <cell r="R54" t="str">
            <v>N/A</v>
          </cell>
          <cell r="S54" t="str">
            <v>N/A</v>
          </cell>
          <cell r="T54" t="str">
            <v>N/A</v>
          </cell>
          <cell r="U54" t="str">
            <v>N/A</v>
          </cell>
          <cell r="V54" t="str">
            <v>N/A</v>
          </cell>
          <cell r="W54" t="str">
            <v>N/A</v>
          </cell>
          <cell r="X54" t="str">
            <v>N/A</v>
          </cell>
          <cell r="Y54" t="str">
            <v>N/A</v>
          </cell>
          <cell r="Z54" t="str">
            <v>N/A</v>
          </cell>
          <cell r="AA54" t="str">
            <v>N/A</v>
          </cell>
          <cell r="AB54" t="str">
            <v>N/A</v>
          </cell>
          <cell r="AC54">
            <v>41182</v>
          </cell>
          <cell r="AD54" t="str">
            <v>N/A</v>
          </cell>
          <cell r="AE54">
            <v>41273</v>
          </cell>
          <cell r="AF54" t="str">
            <v>N/A</v>
          </cell>
        </row>
        <row r="55">
          <cell r="G55" t="str">
            <v>Ptn3</v>
          </cell>
          <cell r="H55" t="str">
            <v>Licitación Pública Nacional </v>
          </cell>
          <cell r="I55">
            <v>0</v>
          </cell>
          <cell r="J55">
            <v>0</v>
          </cell>
          <cell r="K55" t="str">
            <v>Contratación de Obras Menores</v>
          </cell>
          <cell r="L55" t="str">
            <v>Precios Unitarios</v>
          </cell>
          <cell r="M55">
            <v>0</v>
          </cell>
          <cell r="N55">
            <v>0</v>
          </cell>
          <cell r="O55" t="str">
            <v>Sín</v>
          </cell>
          <cell r="P55" t="str">
            <v>Previsto</v>
          </cell>
          <cell r="Q55" t="str">
            <v>N/A</v>
          </cell>
          <cell r="R55" t="str">
            <v>N/A</v>
          </cell>
          <cell r="S55" t="str">
            <v>N/A</v>
          </cell>
          <cell r="T55" t="str">
            <v>N/A</v>
          </cell>
          <cell r="U55" t="str">
            <v>N/A</v>
          </cell>
          <cell r="V55" t="str">
            <v>N/A</v>
          </cell>
          <cell r="W55" t="str">
            <v>N/A</v>
          </cell>
          <cell r="X55" t="str">
            <v>N/A</v>
          </cell>
          <cell r="Y55" t="str">
            <v>N/A</v>
          </cell>
          <cell r="Z55" t="str">
            <v>N/A</v>
          </cell>
          <cell r="AA55" t="str">
            <v>N/A</v>
          </cell>
          <cell r="AB55" t="str">
            <v>N/A</v>
          </cell>
          <cell r="AC55">
            <v>41182</v>
          </cell>
          <cell r="AD55" t="str">
            <v>N/A</v>
          </cell>
          <cell r="AE55">
            <v>41273</v>
          </cell>
          <cell r="AF55" t="str">
            <v>N/A</v>
          </cell>
        </row>
        <row r="56">
          <cell r="G56" t="str">
            <v>Ptn4</v>
          </cell>
          <cell r="H56" t="str">
            <v>Licitación Pública Nacional </v>
          </cell>
          <cell r="I56">
            <v>0</v>
          </cell>
          <cell r="J56">
            <v>0</v>
          </cell>
          <cell r="K56" t="str">
            <v>Contratación de Obras Menores</v>
          </cell>
          <cell r="L56" t="str">
            <v>Precios Unitarios</v>
          </cell>
          <cell r="M56">
            <v>0</v>
          </cell>
          <cell r="N56">
            <v>0</v>
          </cell>
          <cell r="O56" t="str">
            <v>Sín</v>
          </cell>
          <cell r="P56" t="str">
            <v>Previsto</v>
          </cell>
          <cell r="Q56" t="str">
            <v>N/A</v>
          </cell>
          <cell r="R56" t="str">
            <v>N/A</v>
          </cell>
          <cell r="S56" t="str">
            <v>N/A</v>
          </cell>
          <cell r="T56" t="str">
            <v>N/A</v>
          </cell>
          <cell r="U56" t="str">
            <v>N/A</v>
          </cell>
          <cell r="V56" t="str">
            <v>N/A</v>
          </cell>
          <cell r="W56" t="str">
            <v>N/A</v>
          </cell>
          <cell r="X56" t="str">
            <v>N/A</v>
          </cell>
          <cell r="Y56" t="str">
            <v>N/A</v>
          </cell>
          <cell r="Z56" t="str">
            <v>N/A</v>
          </cell>
          <cell r="AA56" t="str">
            <v>N/A</v>
          </cell>
          <cell r="AB56" t="str">
            <v>N/A</v>
          </cell>
          <cell r="AC56">
            <v>41182</v>
          </cell>
          <cell r="AD56" t="str">
            <v>N/A</v>
          </cell>
          <cell r="AE56">
            <v>41273</v>
          </cell>
          <cell r="AF56" t="str">
            <v>N/A</v>
          </cell>
        </row>
        <row r="57">
          <cell r="G57" t="str">
            <v>Ptn5</v>
          </cell>
          <cell r="H57" t="str">
            <v>Licitación Pública Nacional </v>
          </cell>
          <cell r="I57">
            <v>0</v>
          </cell>
          <cell r="J57">
            <v>0</v>
          </cell>
          <cell r="K57" t="str">
            <v>Contratación de Obras Menores</v>
          </cell>
          <cell r="L57" t="str">
            <v>Precios Unitarios</v>
          </cell>
          <cell r="M57">
            <v>0</v>
          </cell>
          <cell r="N57">
            <v>0</v>
          </cell>
          <cell r="O57" t="str">
            <v>Sín</v>
          </cell>
          <cell r="P57" t="str">
            <v>Previsto</v>
          </cell>
          <cell r="Q57" t="str">
            <v>N/A</v>
          </cell>
          <cell r="R57" t="str">
            <v>N/A</v>
          </cell>
          <cell r="S57" t="str">
            <v>N/A</v>
          </cell>
          <cell r="T57" t="str">
            <v>N/A</v>
          </cell>
          <cell r="U57" t="str">
            <v>N/A</v>
          </cell>
          <cell r="V57" t="str">
            <v>N/A</v>
          </cell>
          <cell r="W57" t="str">
            <v>N/A</v>
          </cell>
          <cell r="X57" t="str">
            <v>N/A</v>
          </cell>
          <cell r="Y57" t="str">
            <v>N/A</v>
          </cell>
          <cell r="Z57" t="str">
            <v>N/A</v>
          </cell>
          <cell r="AA57" t="str">
            <v>N/A</v>
          </cell>
          <cell r="AB57" t="str">
            <v>N/A</v>
          </cell>
          <cell r="AC57">
            <v>41182</v>
          </cell>
          <cell r="AD57" t="str">
            <v>N/A</v>
          </cell>
          <cell r="AE57">
            <v>41273</v>
          </cell>
          <cell r="AF57" t="str">
            <v>N/A</v>
          </cell>
        </row>
        <row r="58">
          <cell r="G58" t="str">
            <v>PEP1</v>
          </cell>
          <cell r="H58" t="str">
            <v>Licitación Pública Nacional </v>
          </cell>
          <cell r="I58">
            <v>0</v>
          </cell>
          <cell r="J58">
            <v>0</v>
          </cell>
          <cell r="K58" t="str">
            <v>Contratación de Obras Menores</v>
          </cell>
          <cell r="L58" t="str">
            <v>Precios Unitarios</v>
          </cell>
          <cell r="M58">
            <v>0</v>
          </cell>
          <cell r="N58">
            <v>0</v>
          </cell>
          <cell r="O58" t="str">
            <v>Sín</v>
          </cell>
          <cell r="P58" t="str">
            <v>Previsto</v>
          </cell>
          <cell r="Q58" t="str">
            <v>N/A</v>
          </cell>
          <cell r="R58" t="str">
            <v>N/A</v>
          </cell>
          <cell r="S58" t="str">
            <v>N/A</v>
          </cell>
          <cell r="T58" t="str">
            <v>N/A</v>
          </cell>
          <cell r="U58" t="str">
            <v>N/A</v>
          </cell>
          <cell r="V58" t="str">
            <v>N/A</v>
          </cell>
          <cell r="W58" t="str">
            <v>N/A</v>
          </cell>
          <cell r="X58" t="str">
            <v>N/A</v>
          </cell>
          <cell r="Y58" t="str">
            <v>N/A</v>
          </cell>
          <cell r="Z58" t="str">
            <v>N/A</v>
          </cell>
          <cell r="AA58" t="str">
            <v>N/A</v>
          </cell>
          <cell r="AB58" t="str">
            <v>N/A</v>
          </cell>
          <cell r="AC58">
            <v>41030</v>
          </cell>
          <cell r="AD58" t="str">
            <v>N/A</v>
          </cell>
          <cell r="AE58">
            <v>41183</v>
          </cell>
          <cell r="AF58" t="str">
            <v>N/A</v>
          </cell>
        </row>
        <row r="59">
          <cell r="G59" t="str">
            <v>PEP2</v>
          </cell>
          <cell r="H59" t="str">
            <v>Licitación Pública Nacional </v>
          </cell>
          <cell r="I59">
            <v>0</v>
          </cell>
          <cell r="J59">
            <v>0</v>
          </cell>
          <cell r="K59" t="str">
            <v>Contratación de Obras Menores</v>
          </cell>
          <cell r="L59" t="str">
            <v>Precios Unitarios</v>
          </cell>
          <cell r="M59">
            <v>0</v>
          </cell>
          <cell r="N59">
            <v>0</v>
          </cell>
          <cell r="O59" t="str">
            <v>Sín</v>
          </cell>
          <cell r="P59" t="str">
            <v>Previsto</v>
          </cell>
          <cell r="Q59" t="str">
            <v>N/A</v>
          </cell>
          <cell r="R59" t="str">
            <v>N/A</v>
          </cell>
          <cell r="S59" t="str">
            <v>N/A</v>
          </cell>
          <cell r="T59" t="str">
            <v>N/A</v>
          </cell>
          <cell r="U59" t="str">
            <v>N/A</v>
          </cell>
          <cell r="V59" t="str">
            <v>N/A</v>
          </cell>
          <cell r="W59" t="str">
            <v>N/A</v>
          </cell>
          <cell r="X59" t="str">
            <v>N/A</v>
          </cell>
          <cell r="Y59" t="str">
            <v>N/A</v>
          </cell>
          <cell r="Z59" t="str">
            <v>N/A</v>
          </cell>
          <cell r="AA59" t="str">
            <v>N/A</v>
          </cell>
          <cell r="AB59" t="str">
            <v>N/A</v>
          </cell>
          <cell r="AC59">
            <v>41030</v>
          </cell>
          <cell r="AD59" t="str">
            <v>N/A</v>
          </cell>
          <cell r="AE59">
            <v>41183</v>
          </cell>
          <cell r="AF59" t="str">
            <v>N/A</v>
          </cell>
        </row>
        <row r="60">
          <cell r="G60" t="str">
            <v>PEP4</v>
          </cell>
          <cell r="H60" t="str">
            <v>Licitación Pública Nacional </v>
          </cell>
          <cell r="I60">
            <v>0</v>
          </cell>
          <cell r="J60">
            <v>0</v>
          </cell>
          <cell r="K60" t="str">
            <v>Contratación de Obras Menores</v>
          </cell>
          <cell r="L60" t="str">
            <v>Precios Unitarios</v>
          </cell>
          <cell r="M60">
            <v>0</v>
          </cell>
          <cell r="N60">
            <v>0</v>
          </cell>
          <cell r="O60" t="str">
            <v>Sín</v>
          </cell>
          <cell r="P60" t="str">
            <v>Previsto</v>
          </cell>
          <cell r="Q60">
            <v>40955</v>
          </cell>
          <cell r="R60" t="str">
            <v>N/A</v>
          </cell>
          <cell r="S60" t="str">
            <v>N/A</v>
          </cell>
          <cell r="T60" t="str">
            <v>N/A</v>
          </cell>
          <cell r="U60">
            <v>40963</v>
          </cell>
          <cell r="V60" t="str">
            <v>N/A</v>
          </cell>
          <cell r="W60">
            <v>40978</v>
          </cell>
          <cell r="X60" t="str">
            <v>N/A</v>
          </cell>
          <cell r="Y60">
            <v>40998</v>
          </cell>
          <cell r="Z60" t="str">
            <v>N/A</v>
          </cell>
          <cell r="AA60" t="str">
            <v>N/A</v>
          </cell>
          <cell r="AB60" t="str">
            <v>N/A</v>
          </cell>
          <cell r="AC60">
            <v>41030</v>
          </cell>
          <cell r="AD60" t="str">
            <v>N/A</v>
          </cell>
          <cell r="AE60">
            <v>41183</v>
          </cell>
          <cell r="AF60" t="str">
            <v>N/A</v>
          </cell>
        </row>
        <row r="61">
          <cell r="G61" t="str">
            <v>PEP5</v>
          </cell>
          <cell r="H61" t="str">
            <v>Licitación Pública Nacional </v>
          </cell>
          <cell r="I61">
            <v>0</v>
          </cell>
          <cell r="J61">
            <v>0</v>
          </cell>
          <cell r="K61" t="str">
            <v>Contratación de Obras Menores</v>
          </cell>
          <cell r="L61" t="str">
            <v>Precios Unitarios</v>
          </cell>
          <cell r="M61">
            <v>0</v>
          </cell>
          <cell r="N61">
            <v>0</v>
          </cell>
          <cell r="O61" t="str">
            <v>Sín</v>
          </cell>
          <cell r="P61" t="str">
            <v>Previsto</v>
          </cell>
          <cell r="Q61">
            <v>40955</v>
          </cell>
          <cell r="R61" t="str">
            <v>N/A</v>
          </cell>
          <cell r="S61" t="str">
            <v>N/A</v>
          </cell>
          <cell r="T61" t="str">
            <v>N/A</v>
          </cell>
          <cell r="U61">
            <v>40963</v>
          </cell>
          <cell r="V61" t="str">
            <v>N/A</v>
          </cell>
          <cell r="W61">
            <v>40978</v>
          </cell>
          <cell r="X61" t="str">
            <v>N/A</v>
          </cell>
          <cell r="Y61">
            <v>40998</v>
          </cell>
          <cell r="Z61" t="str">
            <v>N/A</v>
          </cell>
          <cell r="AA61" t="str">
            <v>N/A</v>
          </cell>
          <cell r="AB61" t="str">
            <v>N/A</v>
          </cell>
          <cell r="AC61">
            <v>41030</v>
          </cell>
          <cell r="AD61" t="str">
            <v>N/A</v>
          </cell>
          <cell r="AE61">
            <v>41183</v>
          </cell>
          <cell r="AF61" t="str">
            <v>N/A</v>
          </cell>
        </row>
        <row r="62">
          <cell r="G62" t="str">
            <v>PEP12</v>
          </cell>
          <cell r="H62" t="str">
            <v>Licitación Pública Nacional </v>
          </cell>
          <cell r="I62">
            <v>0</v>
          </cell>
          <cell r="J62">
            <v>0</v>
          </cell>
          <cell r="K62" t="str">
            <v>Contratación de Obras Menores</v>
          </cell>
          <cell r="L62" t="str">
            <v>Precios Unitarios</v>
          </cell>
          <cell r="M62">
            <v>0</v>
          </cell>
          <cell r="N62">
            <v>0</v>
          </cell>
          <cell r="O62" t="str">
            <v>Sín</v>
          </cell>
          <cell r="P62" t="str">
            <v>Previsto</v>
          </cell>
          <cell r="Q62" t="str">
            <v>N/A</v>
          </cell>
          <cell r="R62" t="str">
            <v>N/A</v>
          </cell>
          <cell r="S62" t="str">
            <v>N/A</v>
          </cell>
          <cell r="T62" t="str">
            <v>N/A</v>
          </cell>
          <cell r="U62" t="str">
            <v>N/A</v>
          </cell>
          <cell r="V62" t="str">
            <v>N/A</v>
          </cell>
          <cell r="W62" t="str">
            <v>N/A</v>
          </cell>
          <cell r="X62" t="str">
            <v>N/A</v>
          </cell>
          <cell r="Y62" t="str">
            <v>N/A</v>
          </cell>
          <cell r="Z62" t="str">
            <v>N/A</v>
          </cell>
          <cell r="AA62" t="str">
            <v>N/A</v>
          </cell>
          <cell r="AB62" t="str">
            <v>N/A</v>
          </cell>
          <cell r="AC62">
            <v>41182</v>
          </cell>
          <cell r="AD62" t="str">
            <v>N/A</v>
          </cell>
          <cell r="AE62">
            <v>41333</v>
          </cell>
          <cell r="AF62" t="str">
            <v>N/A</v>
          </cell>
        </row>
        <row r="63">
          <cell r="G63" t="str">
            <v>PEP15</v>
          </cell>
          <cell r="H63" t="str">
            <v>Licitación Pública Nacional </v>
          </cell>
          <cell r="I63">
            <v>0</v>
          </cell>
          <cell r="J63">
            <v>0</v>
          </cell>
          <cell r="K63" t="str">
            <v>Contratación de Obras Menores</v>
          </cell>
          <cell r="L63" t="str">
            <v>Precios Unitarios</v>
          </cell>
          <cell r="M63">
            <v>0</v>
          </cell>
          <cell r="N63">
            <v>0</v>
          </cell>
          <cell r="O63" t="str">
            <v>Sín</v>
          </cell>
          <cell r="P63" t="str">
            <v>Previsto</v>
          </cell>
          <cell r="Q63" t="str">
            <v>N/A</v>
          </cell>
          <cell r="R63" t="str">
            <v>N/A</v>
          </cell>
          <cell r="S63" t="str">
            <v>N/A</v>
          </cell>
          <cell r="T63" t="str">
            <v>N/A</v>
          </cell>
          <cell r="U63" t="str">
            <v>N/A</v>
          </cell>
          <cell r="V63" t="str">
            <v>N/A</v>
          </cell>
          <cell r="W63" t="str">
            <v>N/A</v>
          </cell>
          <cell r="X63" t="str">
            <v>N/A</v>
          </cell>
          <cell r="Y63" t="str">
            <v>N/A</v>
          </cell>
          <cell r="Z63" t="str">
            <v>N/A</v>
          </cell>
          <cell r="AA63" t="str">
            <v>N/A</v>
          </cell>
          <cell r="AB63" t="str">
            <v>N/A</v>
          </cell>
          <cell r="AC63">
            <v>41182</v>
          </cell>
          <cell r="AD63" t="str">
            <v>N/A</v>
          </cell>
          <cell r="AE63">
            <v>41333</v>
          </cell>
          <cell r="AF63" t="str">
            <v>N/A</v>
          </cell>
        </row>
        <row r="64">
          <cell r="G64" t="str">
            <v>PEP16</v>
          </cell>
          <cell r="H64" t="str">
            <v>Licitación Pública Nacional </v>
          </cell>
          <cell r="I64">
            <v>0</v>
          </cell>
          <cell r="J64">
            <v>0</v>
          </cell>
          <cell r="K64" t="str">
            <v>Contratación de Obras Menores</v>
          </cell>
          <cell r="L64" t="str">
            <v>Precios Unitarios</v>
          </cell>
          <cell r="M64">
            <v>0</v>
          </cell>
          <cell r="N64">
            <v>0</v>
          </cell>
          <cell r="O64" t="str">
            <v>Sín</v>
          </cell>
          <cell r="P64" t="str">
            <v>Previsto</v>
          </cell>
          <cell r="Q64" t="str">
            <v>N/A</v>
          </cell>
          <cell r="R64" t="str">
            <v>N/A</v>
          </cell>
          <cell r="S64" t="str">
            <v>N/A</v>
          </cell>
          <cell r="T64" t="str">
            <v>N/A</v>
          </cell>
          <cell r="U64" t="str">
            <v>N/A</v>
          </cell>
          <cell r="V64" t="str">
            <v>N/A</v>
          </cell>
          <cell r="W64" t="str">
            <v>N/A</v>
          </cell>
          <cell r="X64" t="str">
            <v>N/A</v>
          </cell>
          <cell r="Y64" t="str">
            <v>N/A</v>
          </cell>
          <cell r="Z64" t="str">
            <v>N/A</v>
          </cell>
          <cell r="AA64" t="str">
            <v>N/A</v>
          </cell>
          <cell r="AB64" t="str">
            <v>N/A</v>
          </cell>
          <cell r="AC64">
            <v>41182</v>
          </cell>
          <cell r="AD64" t="str">
            <v>N/A</v>
          </cell>
          <cell r="AE64">
            <v>41333</v>
          </cell>
          <cell r="AF64" t="str">
            <v>N/A</v>
          </cell>
        </row>
        <row r="65">
          <cell r="G65" t="str">
            <v>IV6</v>
          </cell>
          <cell r="H65" t="str">
            <v>Licitación Pública Nacional </v>
          </cell>
          <cell r="I65">
            <v>0</v>
          </cell>
          <cell r="J65">
            <v>0</v>
          </cell>
          <cell r="K65" t="str">
            <v>Contratación de Obras Menores</v>
          </cell>
          <cell r="L65" t="str">
            <v>Precios Unitarios</v>
          </cell>
          <cell r="M65">
            <v>0</v>
          </cell>
          <cell r="N65">
            <v>0</v>
          </cell>
          <cell r="O65" t="str">
            <v>Sín</v>
          </cell>
          <cell r="P65" t="str">
            <v>Previsto</v>
          </cell>
          <cell r="Q65" t="str">
            <v>N/A</v>
          </cell>
          <cell r="R65" t="str">
            <v>N/A</v>
          </cell>
          <cell r="S65" t="str">
            <v>N/A</v>
          </cell>
          <cell r="T65" t="str">
            <v>N/A</v>
          </cell>
          <cell r="U65" t="str">
            <v>N/A</v>
          </cell>
          <cell r="V65" t="str">
            <v>N/A</v>
          </cell>
          <cell r="W65" t="str">
            <v>N/A</v>
          </cell>
          <cell r="X65" t="str">
            <v>N/A</v>
          </cell>
          <cell r="Y65" t="str">
            <v>N/A</v>
          </cell>
          <cell r="Z65" t="str">
            <v>N/A</v>
          </cell>
          <cell r="AA65" t="str">
            <v>N/A</v>
          </cell>
          <cell r="AB65" t="str">
            <v>N/A</v>
          </cell>
          <cell r="AC65">
            <v>41724</v>
          </cell>
          <cell r="AD65" t="str">
            <v>N/A</v>
          </cell>
          <cell r="AE65">
            <v>41908</v>
          </cell>
          <cell r="AF65" t="str">
            <v>N/A</v>
          </cell>
        </row>
        <row r="106">
          <cell r="F106" t="str">
            <v>INTERVENTORÍA TÉCNICA, ADMINISTRATIVA, FINANCIERA Y AMBIENTAL AL CONTRATO CUYO OBJETO ES: IMPLEMENTACIÓN DEL SISTEMA DE SEMAFORIZACIÓN  Y SISTEMA INTELIGENTE DE TRANSPORTE</v>
          </cell>
        </row>
        <row r="111">
          <cell r="F111" t="str">
            <v>INTERVENTORÍA TÉCNICA, ADMINISTRATIVA, FINANCIERA Y AMBIENTAL AL CONTRATO CUYO OBJETO ES PUENTE VEHICULAR EN LA CALLE 41</v>
          </cell>
        </row>
        <row r="135">
          <cell r="F135" t="str">
            <v>INTERVENTORÍA TÉCNICA, ADMINISTRATIVA, FINANCIERA Y AMBIENTAL AL CONTRATO CUYO OBJETO ES: PATIO 1</v>
          </cell>
        </row>
      </sheetData>
      <sheetData sheetId="29"/>
      <sheetData sheetId="30"/>
      <sheetData sheetId="31"/>
      <sheetData sheetId="32"/>
      <sheetData sheetId="33"/>
      <sheetData sheetId="34">
        <row r="18">
          <cell r="E18">
            <v>0</v>
          </cell>
          <cell r="F18">
            <v>0</v>
          </cell>
        </row>
        <row r="19">
          <cell r="E19">
            <v>0</v>
          </cell>
          <cell r="F19">
            <v>0</v>
          </cell>
        </row>
        <row r="20">
          <cell r="E20">
            <v>0</v>
          </cell>
          <cell r="F20">
            <v>0</v>
          </cell>
        </row>
        <row r="21">
          <cell r="E21">
            <v>0</v>
          </cell>
          <cell r="F21">
            <v>0</v>
          </cell>
        </row>
        <row r="22">
          <cell r="E22">
            <v>0</v>
          </cell>
          <cell r="F22">
            <v>0</v>
          </cell>
        </row>
      </sheetData>
      <sheetData sheetId="35"/>
      <sheetData sheetId="36"/>
      <sheetData sheetId="37">
        <row r="18">
          <cell r="E18">
            <v>0</v>
          </cell>
          <cell r="F18">
            <v>0</v>
          </cell>
        </row>
        <row r="19">
          <cell r="E19">
            <v>0</v>
          </cell>
          <cell r="F19">
            <v>0</v>
          </cell>
        </row>
        <row r="20">
          <cell r="E20">
            <v>0</v>
          </cell>
          <cell r="F20">
            <v>0</v>
          </cell>
        </row>
        <row r="21">
          <cell r="E21">
            <v>0</v>
          </cell>
          <cell r="F21">
            <v>0</v>
          </cell>
        </row>
      </sheetData>
      <sheetData sheetId="38">
        <row r="18">
          <cell r="E18">
            <v>0</v>
          </cell>
          <cell r="F18">
            <v>0</v>
          </cell>
        </row>
        <row r="19">
          <cell r="E19">
            <v>0</v>
          </cell>
          <cell r="F19">
            <v>0</v>
          </cell>
        </row>
      </sheetData>
      <sheetData sheetId="39"/>
      <sheetData sheetId="40"/>
      <sheetData sheetId="41"/>
      <sheetData sheetId="42">
        <row r="18">
          <cell r="F18">
            <v>0</v>
          </cell>
        </row>
      </sheetData>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FFFF00"/>
    <pageSetUpPr fitToPage="1"/>
  </sheetPr>
  <dimension ref="A1:AS234"/>
  <sheetViews>
    <sheetView topLeftCell="A41" zoomScaleNormal="100" workbookViewId="0">
      <selection activeCell="F44" sqref="F44"/>
    </sheetView>
  </sheetViews>
  <sheetFormatPr baseColWidth="10" defaultColWidth="9.140625" defaultRowHeight="12.75" x14ac:dyDescent="0.2"/>
  <cols>
    <col min="1" max="1" width="11.42578125" style="1" customWidth="1"/>
    <col min="2" max="2" width="12.42578125" style="1" customWidth="1"/>
    <col min="3" max="3" width="4.140625" style="1" customWidth="1"/>
    <col min="4" max="4" width="4.85546875" style="1" customWidth="1"/>
    <col min="5" max="5" width="5.85546875" style="1" customWidth="1"/>
    <col min="6" max="6" width="45.28515625" style="1" customWidth="1"/>
    <col min="7" max="7" width="18.28515625" style="1" customWidth="1"/>
    <col min="8" max="8" width="8.42578125" style="1" customWidth="1"/>
    <col min="9" max="9" width="6" style="1" customWidth="1"/>
    <col min="10" max="10" width="12.42578125" style="1" customWidth="1"/>
    <col min="11" max="11" width="13.42578125" style="1" customWidth="1"/>
    <col min="12" max="12" width="22" style="1" customWidth="1"/>
    <col min="13" max="13" width="18" style="1" customWidth="1"/>
    <col min="14" max="14" width="6.85546875" style="1" customWidth="1"/>
    <col min="15" max="15" width="5.5703125" style="1" customWidth="1"/>
    <col min="16" max="16" width="7.42578125" style="1" customWidth="1"/>
    <col min="17" max="18" width="11.140625" style="1" customWidth="1"/>
    <col min="19" max="19" width="10.85546875" style="1" customWidth="1"/>
    <col min="20" max="20" width="12.140625" style="1" customWidth="1"/>
    <col min="21" max="21" width="13.5703125" style="1" customWidth="1"/>
    <col min="22" max="22" width="15.85546875" style="1" customWidth="1"/>
    <col min="23" max="23" width="11.42578125" style="1" customWidth="1"/>
    <col min="24" max="24" width="12.28515625" style="1" customWidth="1"/>
    <col min="25" max="25" width="13" style="1" customWidth="1"/>
    <col min="26" max="26" width="24" style="1" customWidth="1"/>
    <col min="27" max="27" width="11.42578125" style="1" customWidth="1"/>
    <col min="28" max="28" width="10.42578125" style="1" customWidth="1"/>
    <col min="29" max="29" width="14.28515625" style="1" customWidth="1"/>
    <col min="30" max="30" width="11.5703125" style="1" customWidth="1"/>
    <col min="31" max="32" width="10.85546875" style="1" customWidth="1"/>
    <col min="33" max="33" width="28.28515625" style="1" customWidth="1"/>
    <col min="34" max="34" width="33.7109375" style="1" customWidth="1"/>
    <col min="35" max="35" width="44.28515625" style="1" customWidth="1"/>
    <col min="36" max="36" width="29.42578125" style="241" hidden="1" customWidth="1"/>
    <col min="37" max="37" width="12.7109375" style="1" hidden="1" customWidth="1"/>
    <col min="38" max="38" width="21.5703125" style="1" hidden="1" customWidth="1"/>
    <col min="39" max="39" width="12.7109375" style="1" hidden="1" customWidth="1"/>
    <col min="40" max="40" width="23.28515625" style="1" hidden="1" customWidth="1"/>
    <col min="41" max="41" width="50" style="1" hidden="1" customWidth="1"/>
    <col min="42" max="42" width="24.85546875" style="1" hidden="1" customWidth="1"/>
    <col min="43" max="45" width="9.140625" style="1" hidden="1" customWidth="1"/>
    <col min="46" max="49" width="9.140625" style="1" customWidth="1"/>
    <col min="50" max="16384" width="9.140625" style="1"/>
  </cols>
  <sheetData>
    <row r="1" spans="1:41" ht="13.5" thickBot="1" x14ac:dyDescent="0.25">
      <c r="B1" s="840" t="s">
        <v>103</v>
      </c>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2"/>
    </row>
    <row r="2" spans="1:41" ht="13.5" thickBot="1" x14ac:dyDescent="0.25">
      <c r="B2" s="835" t="s">
        <v>1</v>
      </c>
      <c r="C2" s="836"/>
      <c r="D2" s="836"/>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8"/>
    </row>
    <row r="3" spans="1:41" ht="34.9" customHeight="1" x14ac:dyDescent="0.2">
      <c r="B3" s="843" t="s">
        <v>2</v>
      </c>
      <c r="C3" s="839" t="s">
        <v>107</v>
      </c>
      <c r="D3" s="839" t="s">
        <v>108</v>
      </c>
      <c r="E3" s="834" t="s">
        <v>87</v>
      </c>
      <c r="F3" s="834" t="s">
        <v>3</v>
      </c>
      <c r="G3" s="834" t="s">
        <v>4</v>
      </c>
      <c r="H3" s="839" t="s">
        <v>133</v>
      </c>
      <c r="I3" s="834" t="s">
        <v>5</v>
      </c>
      <c r="J3" s="839" t="s">
        <v>93</v>
      </c>
      <c r="K3" s="834" t="s">
        <v>134</v>
      </c>
      <c r="L3" s="834" t="s">
        <v>135</v>
      </c>
      <c r="M3" s="834" t="s">
        <v>6</v>
      </c>
      <c r="N3" s="834" t="s">
        <v>102</v>
      </c>
      <c r="O3" s="839" t="s">
        <v>136</v>
      </c>
      <c r="P3" s="834" t="s">
        <v>137</v>
      </c>
      <c r="Q3" s="834" t="s">
        <v>7</v>
      </c>
      <c r="R3" s="834"/>
      <c r="S3" s="834"/>
      <c r="T3" s="834"/>
      <c r="U3" s="834"/>
      <c r="V3" s="834"/>
      <c r="W3" s="834"/>
      <c r="X3" s="834"/>
      <c r="Y3" s="834"/>
      <c r="Z3" s="834"/>
      <c r="AA3" s="834"/>
      <c r="AB3" s="834"/>
      <c r="AC3" s="834"/>
      <c r="AD3" s="834"/>
      <c r="AE3" s="834"/>
      <c r="AF3" s="834"/>
      <c r="AG3" s="834" t="s">
        <v>8</v>
      </c>
      <c r="AH3" s="834" t="s">
        <v>9</v>
      </c>
      <c r="AI3" s="847" t="s">
        <v>0</v>
      </c>
      <c r="AJ3" s="855" t="s">
        <v>343</v>
      </c>
      <c r="AL3" s="1" t="s">
        <v>443</v>
      </c>
      <c r="AO3" s="1" t="s">
        <v>99</v>
      </c>
    </row>
    <row r="4" spans="1:41" ht="37.5" customHeight="1" x14ac:dyDescent="0.2">
      <c r="B4" s="843"/>
      <c r="C4" s="845"/>
      <c r="D4" s="845"/>
      <c r="E4" s="834"/>
      <c r="F4" s="834"/>
      <c r="G4" s="834"/>
      <c r="H4" s="845"/>
      <c r="I4" s="834"/>
      <c r="J4" s="845"/>
      <c r="K4" s="834"/>
      <c r="L4" s="834"/>
      <c r="M4" s="834"/>
      <c r="N4" s="834"/>
      <c r="O4" s="845"/>
      <c r="P4" s="834"/>
      <c r="Q4" s="834" t="s">
        <v>10</v>
      </c>
      <c r="R4" s="834"/>
      <c r="S4" s="834" t="s">
        <v>11</v>
      </c>
      <c r="T4" s="834"/>
      <c r="U4" s="834" t="s">
        <v>12</v>
      </c>
      <c r="V4" s="834"/>
      <c r="W4" s="834" t="s">
        <v>13</v>
      </c>
      <c r="X4" s="834"/>
      <c r="Y4" s="834" t="s">
        <v>14</v>
      </c>
      <c r="Z4" s="834"/>
      <c r="AA4" s="834" t="s">
        <v>15</v>
      </c>
      <c r="AB4" s="834"/>
      <c r="AC4" s="834" t="s">
        <v>16</v>
      </c>
      <c r="AD4" s="834"/>
      <c r="AE4" s="834" t="s">
        <v>17</v>
      </c>
      <c r="AF4" s="834"/>
      <c r="AG4" s="834"/>
      <c r="AH4" s="834"/>
      <c r="AI4" s="847"/>
      <c r="AJ4" s="856"/>
      <c r="AL4" s="1" t="s">
        <v>447</v>
      </c>
      <c r="AO4" s="1" t="s">
        <v>100</v>
      </c>
    </row>
    <row r="5" spans="1:41" ht="20.25" customHeight="1" thickBot="1" x14ac:dyDescent="0.25">
      <c r="B5" s="844"/>
      <c r="C5" s="845"/>
      <c r="D5" s="845"/>
      <c r="E5" s="839"/>
      <c r="F5" s="839"/>
      <c r="G5" s="839"/>
      <c r="H5" s="845"/>
      <c r="I5" s="839"/>
      <c r="J5" s="845"/>
      <c r="K5" s="839"/>
      <c r="L5" s="839"/>
      <c r="M5" s="839"/>
      <c r="N5" s="839"/>
      <c r="O5" s="845"/>
      <c r="P5" s="839"/>
      <c r="Q5" s="18" t="s">
        <v>18</v>
      </c>
      <c r="R5" s="18" t="s">
        <v>19</v>
      </c>
      <c r="S5" s="18" t="s">
        <v>18</v>
      </c>
      <c r="T5" s="18" t="s">
        <v>19</v>
      </c>
      <c r="U5" s="18" t="s">
        <v>18</v>
      </c>
      <c r="V5" s="18" t="s">
        <v>19</v>
      </c>
      <c r="W5" s="18" t="s">
        <v>18</v>
      </c>
      <c r="X5" s="18" t="s">
        <v>19</v>
      </c>
      <c r="Y5" s="18" t="s">
        <v>18</v>
      </c>
      <c r="Z5" s="18" t="s">
        <v>19</v>
      </c>
      <c r="AA5" s="18" t="s">
        <v>18</v>
      </c>
      <c r="AB5" s="18" t="s">
        <v>19</v>
      </c>
      <c r="AC5" s="18" t="s">
        <v>18</v>
      </c>
      <c r="AD5" s="18" t="s">
        <v>19</v>
      </c>
      <c r="AE5" s="18" t="s">
        <v>18</v>
      </c>
      <c r="AF5" s="18" t="s">
        <v>19</v>
      </c>
      <c r="AG5" s="839"/>
      <c r="AH5" s="839"/>
      <c r="AI5" s="848"/>
      <c r="AJ5" s="857"/>
      <c r="AL5" s="1" t="s">
        <v>448</v>
      </c>
      <c r="AO5" s="2" t="s">
        <v>79</v>
      </c>
    </row>
    <row r="6" spans="1:41" s="264" customFormat="1" ht="58.5" customHeight="1" thickBot="1" x14ac:dyDescent="0.25">
      <c r="B6" s="255" t="s">
        <v>110</v>
      </c>
      <c r="C6" s="256"/>
      <c r="D6" s="256" t="s">
        <v>111</v>
      </c>
      <c r="E6" s="256" t="s">
        <v>128</v>
      </c>
      <c r="F6" s="191" t="s">
        <v>209</v>
      </c>
      <c r="G6" s="257" t="s">
        <v>157</v>
      </c>
      <c r="H6" s="256" t="s">
        <v>50</v>
      </c>
      <c r="I6" s="256"/>
      <c r="J6" s="481" t="s">
        <v>117</v>
      </c>
      <c r="K6" s="481"/>
      <c r="L6" s="481" t="s">
        <v>76</v>
      </c>
      <c r="M6" s="788">
        <v>4499027450</v>
      </c>
      <c r="N6" s="481"/>
      <c r="O6" s="481" t="s">
        <v>99</v>
      </c>
      <c r="P6" s="787"/>
      <c r="Q6" s="484" t="s">
        <v>122</v>
      </c>
      <c r="R6" s="623">
        <v>40572</v>
      </c>
      <c r="S6" s="623" t="s">
        <v>122</v>
      </c>
      <c r="T6" s="623" t="s">
        <v>122</v>
      </c>
      <c r="U6" s="623" t="s">
        <v>122</v>
      </c>
      <c r="V6" s="623">
        <v>40576</v>
      </c>
      <c r="W6" s="623" t="s">
        <v>122</v>
      </c>
      <c r="X6" s="623">
        <v>40591</v>
      </c>
      <c r="Y6" s="623" t="s">
        <v>122</v>
      </c>
      <c r="Z6" s="623">
        <v>40603</v>
      </c>
      <c r="AA6" s="623" t="s">
        <v>122</v>
      </c>
      <c r="AB6" s="623" t="s">
        <v>122</v>
      </c>
      <c r="AC6" s="623" t="s">
        <v>122</v>
      </c>
      <c r="AD6" s="623">
        <v>40637</v>
      </c>
      <c r="AE6" s="623">
        <v>40962</v>
      </c>
      <c r="AF6" s="780">
        <v>40962</v>
      </c>
      <c r="AG6" s="296" t="s">
        <v>123</v>
      </c>
      <c r="AH6" s="251">
        <v>4499027450</v>
      </c>
      <c r="AI6" s="262" t="s">
        <v>448</v>
      </c>
      <c r="AJ6" s="263" t="e">
        <f>+YEAR(AC6)</f>
        <v>#VALUE!</v>
      </c>
      <c r="AL6" s="264" t="s">
        <v>449</v>
      </c>
      <c r="AO6" s="265" t="s">
        <v>80</v>
      </c>
    </row>
    <row r="7" spans="1:41" s="264" customFormat="1" ht="64.5" thickBot="1" x14ac:dyDescent="0.25">
      <c r="A7" s="480"/>
      <c r="B7" s="255" t="s">
        <v>110</v>
      </c>
      <c r="C7" s="256"/>
      <c r="D7" s="256" t="s">
        <v>111</v>
      </c>
      <c r="E7" s="256" t="s">
        <v>128</v>
      </c>
      <c r="F7" s="191" t="s">
        <v>354</v>
      </c>
      <c r="G7" s="257" t="s">
        <v>159</v>
      </c>
      <c r="H7" s="256" t="s">
        <v>50</v>
      </c>
      <c r="I7" s="256"/>
      <c r="J7" s="481" t="s">
        <v>118</v>
      </c>
      <c r="K7" s="481"/>
      <c r="L7" s="481" t="s">
        <v>76</v>
      </c>
      <c r="M7" s="788">
        <v>14147032722</v>
      </c>
      <c r="N7" s="788"/>
      <c r="O7" s="481" t="s">
        <v>99</v>
      </c>
      <c r="P7" s="787"/>
      <c r="Q7" s="484" t="s">
        <v>122</v>
      </c>
      <c r="R7" s="623">
        <v>40596</v>
      </c>
      <c r="S7" s="623" t="s">
        <v>122</v>
      </c>
      <c r="T7" s="623" t="s">
        <v>122</v>
      </c>
      <c r="U7" s="623" t="s">
        <v>122</v>
      </c>
      <c r="V7" s="623">
        <v>40597</v>
      </c>
      <c r="W7" s="623" t="s">
        <v>122</v>
      </c>
      <c r="X7" s="623">
        <v>40612</v>
      </c>
      <c r="Y7" s="623" t="s">
        <v>122</v>
      </c>
      <c r="Z7" s="623">
        <v>40627</v>
      </c>
      <c r="AA7" s="623" t="s">
        <v>122</v>
      </c>
      <c r="AB7" s="623" t="s">
        <v>122</v>
      </c>
      <c r="AC7" s="623" t="s">
        <v>122</v>
      </c>
      <c r="AD7" s="623">
        <v>40700</v>
      </c>
      <c r="AE7" s="623">
        <v>41247</v>
      </c>
      <c r="AF7" s="780">
        <v>41247</v>
      </c>
      <c r="AG7" s="296" t="s">
        <v>124</v>
      </c>
      <c r="AH7" s="251">
        <v>13000000000</v>
      </c>
      <c r="AI7" s="262" t="s">
        <v>448</v>
      </c>
      <c r="AJ7" s="263" t="e">
        <f t="shared" ref="AJ7:AJ33" si="0">+YEAR(AC7)</f>
        <v>#VALUE!</v>
      </c>
      <c r="AL7" s="264" t="s">
        <v>558</v>
      </c>
      <c r="AO7" s="265" t="s">
        <v>81</v>
      </c>
    </row>
    <row r="8" spans="1:41" s="264" customFormat="1" ht="64.5" thickBot="1" x14ac:dyDescent="0.25">
      <c r="B8" s="255" t="s">
        <v>110</v>
      </c>
      <c r="C8" s="256"/>
      <c r="D8" s="256" t="s">
        <v>111</v>
      </c>
      <c r="E8" s="256" t="s">
        <v>128</v>
      </c>
      <c r="F8" s="191" t="s">
        <v>112</v>
      </c>
      <c r="G8" s="257">
        <v>5</v>
      </c>
      <c r="H8" s="256" t="s">
        <v>50</v>
      </c>
      <c r="I8" s="256"/>
      <c r="J8" s="481" t="s">
        <v>119</v>
      </c>
      <c r="K8" s="481"/>
      <c r="L8" s="481" t="s">
        <v>76</v>
      </c>
      <c r="M8" s="788">
        <v>7204784374</v>
      </c>
      <c r="N8" s="786"/>
      <c r="O8" s="481" t="s">
        <v>99</v>
      </c>
      <c r="P8" s="787"/>
      <c r="Q8" s="484" t="s">
        <v>122</v>
      </c>
      <c r="R8" s="623">
        <v>40637</v>
      </c>
      <c r="S8" s="623" t="s">
        <v>122</v>
      </c>
      <c r="T8" s="623" t="s">
        <v>122</v>
      </c>
      <c r="U8" s="623" t="s">
        <v>122</v>
      </c>
      <c r="V8" s="623">
        <v>40645</v>
      </c>
      <c r="W8" s="623" t="s">
        <v>122</v>
      </c>
      <c r="X8" s="623">
        <v>40662</v>
      </c>
      <c r="Y8" s="623" t="s">
        <v>122</v>
      </c>
      <c r="Z8" s="623">
        <v>40679</v>
      </c>
      <c r="AA8" s="623" t="s">
        <v>122</v>
      </c>
      <c r="AB8" s="623" t="s">
        <v>122</v>
      </c>
      <c r="AC8" s="623" t="s">
        <v>122</v>
      </c>
      <c r="AD8" s="623">
        <v>40718</v>
      </c>
      <c r="AE8" s="623">
        <v>41163</v>
      </c>
      <c r="AF8" s="780">
        <v>41326</v>
      </c>
      <c r="AG8" s="296" t="s">
        <v>125</v>
      </c>
      <c r="AH8" s="251">
        <v>7204784374</v>
      </c>
      <c r="AI8" s="262" t="s">
        <v>448</v>
      </c>
      <c r="AJ8" s="263" t="e">
        <f t="shared" si="0"/>
        <v>#VALUE!</v>
      </c>
      <c r="AO8" s="265" t="s">
        <v>82</v>
      </c>
    </row>
    <row r="9" spans="1:41" s="264" customFormat="1" ht="128.25" thickBot="1" x14ac:dyDescent="0.25">
      <c r="B9" s="255" t="s">
        <v>110</v>
      </c>
      <c r="C9" s="256"/>
      <c r="D9" s="256" t="s">
        <v>111</v>
      </c>
      <c r="E9" s="256" t="s">
        <v>128</v>
      </c>
      <c r="F9" s="191" t="s">
        <v>113</v>
      </c>
      <c r="G9" s="257" t="s">
        <v>161</v>
      </c>
      <c r="H9" s="256" t="s">
        <v>50</v>
      </c>
      <c r="I9" s="256"/>
      <c r="J9" s="481" t="s">
        <v>120</v>
      </c>
      <c r="K9" s="481"/>
      <c r="L9" s="481" t="s">
        <v>76</v>
      </c>
      <c r="M9" s="788">
        <v>3299992963.1500001</v>
      </c>
      <c r="N9" s="786"/>
      <c r="O9" s="481" t="s">
        <v>99</v>
      </c>
      <c r="P9" s="787"/>
      <c r="Q9" s="484" t="s">
        <v>122</v>
      </c>
      <c r="R9" s="623">
        <v>40757</v>
      </c>
      <c r="S9" s="623" t="s">
        <v>122</v>
      </c>
      <c r="T9" s="623" t="s">
        <v>122</v>
      </c>
      <c r="U9" s="623" t="s">
        <v>122</v>
      </c>
      <c r="V9" s="623">
        <v>40758</v>
      </c>
      <c r="W9" s="623" t="s">
        <v>122</v>
      </c>
      <c r="X9" s="623">
        <v>40774</v>
      </c>
      <c r="Y9" s="623" t="s">
        <v>122</v>
      </c>
      <c r="Z9" s="623">
        <v>40792</v>
      </c>
      <c r="AA9" s="623" t="s">
        <v>122</v>
      </c>
      <c r="AB9" s="623" t="s">
        <v>122</v>
      </c>
      <c r="AC9" s="623" t="s">
        <v>122</v>
      </c>
      <c r="AD9" s="623">
        <v>40868</v>
      </c>
      <c r="AE9" s="623">
        <v>41050</v>
      </c>
      <c r="AF9" s="780">
        <v>41081</v>
      </c>
      <c r="AG9" s="296" t="s">
        <v>126</v>
      </c>
      <c r="AH9" s="251">
        <v>3299993067.1300001</v>
      </c>
      <c r="AI9" s="262" t="s">
        <v>448</v>
      </c>
      <c r="AJ9" s="263" t="e">
        <f t="shared" si="0"/>
        <v>#VALUE!</v>
      </c>
      <c r="AO9" s="265" t="s">
        <v>84</v>
      </c>
    </row>
    <row r="10" spans="1:41" s="264" customFormat="1" ht="115.5" thickBot="1" x14ac:dyDescent="0.25">
      <c r="B10" s="255" t="s">
        <v>110</v>
      </c>
      <c r="C10" s="256"/>
      <c r="D10" s="256" t="s">
        <v>111</v>
      </c>
      <c r="E10" s="256" t="s">
        <v>128</v>
      </c>
      <c r="F10" s="191" t="s">
        <v>114</v>
      </c>
      <c r="G10" s="257" t="s">
        <v>162</v>
      </c>
      <c r="H10" s="256" t="s">
        <v>50</v>
      </c>
      <c r="I10" s="256"/>
      <c r="J10" s="481" t="s">
        <v>121</v>
      </c>
      <c r="K10" s="481"/>
      <c r="L10" s="481" t="s">
        <v>76</v>
      </c>
      <c r="M10" s="788">
        <v>6739982986</v>
      </c>
      <c r="N10" s="786"/>
      <c r="O10" s="481" t="s">
        <v>99</v>
      </c>
      <c r="P10" s="787"/>
      <c r="Q10" s="484" t="s">
        <v>122</v>
      </c>
      <c r="R10" s="623">
        <v>40791</v>
      </c>
      <c r="S10" s="623" t="s">
        <v>122</v>
      </c>
      <c r="T10" s="623" t="s">
        <v>122</v>
      </c>
      <c r="U10" s="623" t="s">
        <v>122</v>
      </c>
      <c r="V10" s="623">
        <v>40793</v>
      </c>
      <c r="W10" s="623" t="s">
        <v>122</v>
      </c>
      <c r="X10" s="623">
        <v>40808</v>
      </c>
      <c r="Y10" s="623" t="s">
        <v>122</v>
      </c>
      <c r="Z10" s="623">
        <v>40826</v>
      </c>
      <c r="AA10" s="623" t="s">
        <v>122</v>
      </c>
      <c r="AB10" s="623" t="s">
        <v>122</v>
      </c>
      <c r="AC10" s="623" t="s">
        <v>122</v>
      </c>
      <c r="AD10" s="623">
        <v>40862</v>
      </c>
      <c r="AE10" s="623">
        <v>41283</v>
      </c>
      <c r="AF10" s="780">
        <v>41356</v>
      </c>
      <c r="AG10" s="296" t="s">
        <v>154</v>
      </c>
      <c r="AH10" s="251">
        <v>6739982986</v>
      </c>
      <c r="AI10" s="262" t="s">
        <v>448</v>
      </c>
      <c r="AJ10" s="263" t="e">
        <f t="shared" si="0"/>
        <v>#VALUE!</v>
      </c>
      <c r="AO10" s="265"/>
    </row>
    <row r="11" spans="1:41" s="264" customFormat="1" ht="153.75" thickBot="1" x14ac:dyDescent="0.25">
      <c r="A11" s="251">
        <f>2866576959+10308344103+1157962438</f>
        <v>14332883500</v>
      </c>
      <c r="B11" s="255" t="s">
        <v>110</v>
      </c>
      <c r="C11" s="256"/>
      <c r="D11" s="256" t="s">
        <v>111</v>
      </c>
      <c r="E11" s="256" t="s">
        <v>128</v>
      </c>
      <c r="F11" s="191" t="s">
        <v>345</v>
      </c>
      <c r="G11" s="257" t="s">
        <v>163</v>
      </c>
      <c r="H11" s="256" t="s">
        <v>50</v>
      </c>
      <c r="I11" s="256"/>
      <c r="J11" s="481" t="s">
        <v>340</v>
      </c>
      <c r="K11" s="481" t="s">
        <v>68</v>
      </c>
      <c r="L11" s="481" t="s">
        <v>76</v>
      </c>
      <c r="M11" s="788">
        <v>14332883500.4</v>
      </c>
      <c r="N11" s="786"/>
      <c r="O11" s="481" t="s">
        <v>99</v>
      </c>
      <c r="P11" s="787" t="s">
        <v>79</v>
      </c>
      <c r="Q11" s="484" t="s">
        <v>122</v>
      </c>
      <c r="R11" s="623">
        <v>40967</v>
      </c>
      <c r="S11" s="623" t="s">
        <v>122</v>
      </c>
      <c r="T11" s="623" t="s">
        <v>122</v>
      </c>
      <c r="U11" s="623" t="s">
        <v>122</v>
      </c>
      <c r="V11" s="623">
        <v>41009</v>
      </c>
      <c r="W11" s="623" t="s">
        <v>122</v>
      </c>
      <c r="X11" s="623">
        <v>41024</v>
      </c>
      <c r="Y11" s="623" t="s">
        <v>122</v>
      </c>
      <c r="Z11" s="623">
        <v>41051</v>
      </c>
      <c r="AA11" s="623" t="s">
        <v>122</v>
      </c>
      <c r="AB11" s="623" t="s">
        <v>122</v>
      </c>
      <c r="AC11" s="623" t="s">
        <v>122</v>
      </c>
      <c r="AD11" s="623">
        <v>41064</v>
      </c>
      <c r="AE11" s="623">
        <v>41540</v>
      </c>
      <c r="AF11" s="780">
        <v>41570</v>
      </c>
      <c r="AG11" s="296" t="s">
        <v>341</v>
      </c>
      <c r="AH11" s="251">
        <v>14332883500.4</v>
      </c>
      <c r="AI11" s="262" t="s">
        <v>448</v>
      </c>
      <c r="AJ11" s="263" t="e">
        <f t="shared" si="0"/>
        <v>#VALUE!</v>
      </c>
      <c r="AO11" s="265"/>
    </row>
    <row r="12" spans="1:41" s="264" customFormat="1" ht="73.5" customHeight="1" thickBot="1" x14ac:dyDescent="0.25">
      <c r="B12" s="255" t="s">
        <v>110</v>
      </c>
      <c r="C12" s="256"/>
      <c r="D12" s="256" t="s">
        <v>111</v>
      </c>
      <c r="E12" s="256" t="s">
        <v>128</v>
      </c>
      <c r="F12" s="191" t="s">
        <v>115</v>
      </c>
      <c r="G12" s="257">
        <v>91</v>
      </c>
      <c r="H12" s="256" t="s">
        <v>50</v>
      </c>
      <c r="I12" s="256"/>
      <c r="J12" s="481" t="s">
        <v>151</v>
      </c>
      <c r="K12" s="481"/>
      <c r="L12" s="481" t="s">
        <v>76</v>
      </c>
      <c r="M12" s="788">
        <v>2238946995</v>
      </c>
      <c r="N12" s="786"/>
      <c r="O12" s="481" t="s">
        <v>99</v>
      </c>
      <c r="P12" s="787" t="s">
        <v>79</v>
      </c>
      <c r="Q12" s="484" t="s">
        <v>122</v>
      </c>
      <c r="R12" s="623">
        <v>40891</v>
      </c>
      <c r="S12" s="623" t="s">
        <v>122</v>
      </c>
      <c r="T12" s="623" t="s">
        <v>122</v>
      </c>
      <c r="U12" s="623" t="s">
        <v>122</v>
      </c>
      <c r="V12" s="623">
        <v>40892</v>
      </c>
      <c r="W12" s="623" t="s">
        <v>122</v>
      </c>
      <c r="X12" s="623">
        <v>40907</v>
      </c>
      <c r="Y12" s="623" t="s">
        <v>122</v>
      </c>
      <c r="Z12" s="623">
        <v>40928</v>
      </c>
      <c r="AA12" s="623" t="s">
        <v>122</v>
      </c>
      <c r="AB12" s="623" t="s">
        <v>122</v>
      </c>
      <c r="AC12" s="623" t="s">
        <v>122</v>
      </c>
      <c r="AD12" s="623">
        <v>40945</v>
      </c>
      <c r="AE12" s="623">
        <v>41248</v>
      </c>
      <c r="AF12" s="780">
        <v>41248</v>
      </c>
      <c r="AG12" s="296" t="s">
        <v>155</v>
      </c>
      <c r="AH12" s="251">
        <v>2238946995</v>
      </c>
      <c r="AI12" s="262" t="s">
        <v>448</v>
      </c>
      <c r="AJ12" s="263" t="e">
        <f t="shared" si="0"/>
        <v>#VALUE!</v>
      </c>
      <c r="AO12" s="265"/>
    </row>
    <row r="13" spans="1:41" s="264" customFormat="1" ht="77.25" thickBot="1" x14ac:dyDescent="0.25">
      <c r="B13" s="255" t="s">
        <v>110</v>
      </c>
      <c r="C13" s="256"/>
      <c r="D13" s="256" t="s">
        <v>111</v>
      </c>
      <c r="E13" s="256" t="s">
        <v>128</v>
      </c>
      <c r="F13" s="191" t="s">
        <v>116</v>
      </c>
      <c r="G13" s="257" t="s">
        <v>165</v>
      </c>
      <c r="H13" s="256" t="s">
        <v>50</v>
      </c>
      <c r="I13" s="256"/>
      <c r="J13" s="481" t="s">
        <v>152</v>
      </c>
      <c r="K13" s="481"/>
      <c r="L13" s="481" t="s">
        <v>76</v>
      </c>
      <c r="M13" s="788">
        <v>4320000000</v>
      </c>
      <c r="N13" s="786"/>
      <c r="O13" s="481" t="s">
        <v>99</v>
      </c>
      <c r="P13" s="787" t="s">
        <v>79</v>
      </c>
      <c r="Q13" s="484" t="s">
        <v>122</v>
      </c>
      <c r="R13" s="623">
        <v>40889</v>
      </c>
      <c r="S13" s="623" t="s">
        <v>122</v>
      </c>
      <c r="T13" s="623" t="s">
        <v>122</v>
      </c>
      <c r="U13" s="623" t="s">
        <v>122</v>
      </c>
      <c r="V13" s="623">
        <v>40892</v>
      </c>
      <c r="W13" s="623" t="s">
        <v>122</v>
      </c>
      <c r="X13" s="623">
        <v>40907</v>
      </c>
      <c r="Y13" s="623" t="s">
        <v>122</v>
      </c>
      <c r="Z13" s="623">
        <v>40927</v>
      </c>
      <c r="AA13" s="623" t="s">
        <v>122</v>
      </c>
      <c r="AB13" s="623" t="s">
        <v>122</v>
      </c>
      <c r="AC13" s="623" t="s">
        <v>122</v>
      </c>
      <c r="AD13" s="623">
        <v>40945</v>
      </c>
      <c r="AE13" s="623">
        <v>41294</v>
      </c>
      <c r="AF13" s="780">
        <v>41270</v>
      </c>
      <c r="AG13" s="296" t="s">
        <v>153</v>
      </c>
      <c r="AH13" s="251">
        <v>4320000000</v>
      </c>
      <c r="AI13" s="262" t="s">
        <v>448</v>
      </c>
      <c r="AJ13" s="263" t="e">
        <f t="shared" si="0"/>
        <v>#VALUE!</v>
      </c>
      <c r="AO13" s="265"/>
    </row>
    <row r="14" spans="1:41" s="264" customFormat="1" ht="64.5" thickBot="1" x14ac:dyDescent="0.25">
      <c r="B14" s="255" t="s">
        <v>110</v>
      </c>
      <c r="C14" s="256"/>
      <c r="D14" s="256" t="s">
        <v>111</v>
      </c>
      <c r="E14" s="256" t="s">
        <v>128</v>
      </c>
      <c r="F14" s="191" t="s">
        <v>325</v>
      </c>
      <c r="G14" s="257" t="s">
        <v>212</v>
      </c>
      <c r="H14" s="256" t="s">
        <v>50</v>
      </c>
      <c r="I14" s="256"/>
      <c r="J14" s="481" t="s">
        <v>631</v>
      </c>
      <c r="K14" s="481" t="s">
        <v>68</v>
      </c>
      <c r="L14" s="481" t="s">
        <v>76</v>
      </c>
      <c r="M14" s="788">
        <v>1857246346</v>
      </c>
      <c r="N14" s="481"/>
      <c r="O14" s="481" t="s">
        <v>99</v>
      </c>
      <c r="P14" s="787" t="s">
        <v>79</v>
      </c>
      <c r="Q14" s="484">
        <v>41354</v>
      </c>
      <c r="R14" s="623" t="s">
        <v>122</v>
      </c>
      <c r="S14" s="623" t="s">
        <v>122</v>
      </c>
      <c r="T14" s="623" t="s">
        <v>122</v>
      </c>
      <c r="U14" s="623">
        <v>41362</v>
      </c>
      <c r="V14" s="623">
        <v>41341</v>
      </c>
      <c r="W14" s="623">
        <v>41377</v>
      </c>
      <c r="X14" s="623">
        <v>41331</v>
      </c>
      <c r="Y14" s="623">
        <v>41397</v>
      </c>
      <c r="Z14" s="623">
        <v>41351</v>
      </c>
      <c r="AA14" s="623" t="s">
        <v>122</v>
      </c>
      <c r="AB14" s="623" t="s">
        <v>122</v>
      </c>
      <c r="AC14" s="623">
        <v>41429</v>
      </c>
      <c r="AD14" s="623">
        <v>41369</v>
      </c>
      <c r="AE14" s="623">
        <v>41612</v>
      </c>
      <c r="AF14" s="780">
        <v>41837</v>
      </c>
      <c r="AG14" s="296" t="s">
        <v>399</v>
      </c>
      <c r="AH14" s="251">
        <v>1573121833</v>
      </c>
      <c r="AI14" s="262" t="s">
        <v>448</v>
      </c>
      <c r="AJ14" s="263">
        <f t="shared" si="0"/>
        <v>2013</v>
      </c>
      <c r="AO14" s="265"/>
    </row>
    <row r="15" spans="1:41" s="264" customFormat="1" ht="64.5" thickBot="1" x14ac:dyDescent="0.25">
      <c r="B15" s="255" t="s">
        <v>110</v>
      </c>
      <c r="C15" s="256"/>
      <c r="D15" s="256" t="s">
        <v>111</v>
      </c>
      <c r="E15" s="256" t="s">
        <v>128</v>
      </c>
      <c r="F15" s="191" t="s">
        <v>420</v>
      </c>
      <c r="G15" s="257" t="s">
        <v>169</v>
      </c>
      <c r="H15" s="256" t="s">
        <v>50</v>
      </c>
      <c r="I15" s="256"/>
      <c r="J15" s="481" t="s">
        <v>632</v>
      </c>
      <c r="K15" s="481" t="s">
        <v>68</v>
      </c>
      <c r="L15" s="481" t="s">
        <v>76</v>
      </c>
      <c r="M15" s="788">
        <v>2999575833</v>
      </c>
      <c r="N15" s="788"/>
      <c r="O15" s="481" t="s">
        <v>99</v>
      </c>
      <c r="P15" s="787" t="s">
        <v>79</v>
      </c>
      <c r="Q15" s="484">
        <v>41354</v>
      </c>
      <c r="R15" s="623" t="s">
        <v>122</v>
      </c>
      <c r="S15" s="623" t="s">
        <v>122</v>
      </c>
      <c r="T15" s="623" t="s">
        <v>122</v>
      </c>
      <c r="U15" s="623">
        <v>41362</v>
      </c>
      <c r="V15" s="623">
        <v>41290</v>
      </c>
      <c r="W15" s="623">
        <v>41377</v>
      </c>
      <c r="X15" s="623">
        <v>41306</v>
      </c>
      <c r="Y15" s="623">
        <v>41397</v>
      </c>
      <c r="Z15" s="623">
        <v>41331</v>
      </c>
      <c r="AA15" s="623" t="s">
        <v>122</v>
      </c>
      <c r="AB15" s="623" t="s">
        <v>122</v>
      </c>
      <c r="AC15" s="623">
        <v>41429</v>
      </c>
      <c r="AD15" s="623">
        <v>41346</v>
      </c>
      <c r="AE15" s="623" t="e">
        <v>#N/A</v>
      </c>
      <c r="AF15" s="780">
        <v>41707</v>
      </c>
      <c r="AG15" s="296" t="s">
        <v>400</v>
      </c>
      <c r="AH15" s="251">
        <v>2999575940</v>
      </c>
      <c r="AI15" s="262" t="s">
        <v>448</v>
      </c>
      <c r="AJ15" s="263">
        <f>+YEAR(AC15)</f>
        <v>2013</v>
      </c>
      <c r="AK15" s="281"/>
      <c r="AO15" s="265"/>
    </row>
    <row r="16" spans="1:41" s="264" customFormat="1" ht="90" thickBot="1" x14ac:dyDescent="0.25">
      <c r="B16" s="255" t="s">
        <v>456</v>
      </c>
      <c r="C16" s="256"/>
      <c r="D16" s="256" t="s">
        <v>111</v>
      </c>
      <c r="E16" s="256" t="s">
        <v>128</v>
      </c>
      <c r="F16" s="191" t="s">
        <v>459</v>
      </c>
      <c r="G16" s="257" t="s">
        <v>351</v>
      </c>
      <c r="H16" s="256" t="s">
        <v>50</v>
      </c>
      <c r="I16" s="256"/>
      <c r="J16" s="481" t="s">
        <v>633</v>
      </c>
      <c r="K16" s="481" t="s">
        <v>68</v>
      </c>
      <c r="L16" s="481" t="s">
        <v>76</v>
      </c>
      <c r="M16" s="788">
        <v>3170750778</v>
      </c>
      <c r="N16" s="481"/>
      <c r="O16" s="481" t="s">
        <v>99</v>
      </c>
      <c r="P16" s="787" t="s">
        <v>79</v>
      </c>
      <c r="Q16" s="484">
        <v>41487</v>
      </c>
      <c r="R16" s="623" t="s">
        <v>122</v>
      </c>
      <c r="S16" s="623" t="s">
        <v>122</v>
      </c>
      <c r="T16" s="623" t="s">
        <v>122</v>
      </c>
      <c r="U16" s="623">
        <v>41495</v>
      </c>
      <c r="V16" s="623">
        <v>41500</v>
      </c>
      <c r="W16" s="623">
        <v>41510</v>
      </c>
      <c r="X16" s="623">
        <v>41516</v>
      </c>
      <c r="Y16" s="623">
        <v>41530</v>
      </c>
      <c r="Z16" s="623">
        <v>41540</v>
      </c>
      <c r="AA16" s="623" t="s">
        <v>122</v>
      </c>
      <c r="AB16" s="623" t="s">
        <v>122</v>
      </c>
      <c r="AC16" s="623">
        <v>41562</v>
      </c>
      <c r="AD16" s="623">
        <v>41564</v>
      </c>
      <c r="AE16" s="623" t="e">
        <v>#N/A</v>
      </c>
      <c r="AF16" s="780">
        <v>41833</v>
      </c>
      <c r="AG16" s="296" t="s">
        <v>529</v>
      </c>
      <c r="AH16" s="251">
        <v>3170750778</v>
      </c>
      <c r="AI16" s="262" t="s">
        <v>448</v>
      </c>
      <c r="AJ16" s="263">
        <f>+YEAR(AC16)</f>
        <v>2013</v>
      </c>
      <c r="AO16" s="265"/>
    </row>
    <row r="17" spans="2:41" s="264" customFormat="1" ht="102.75" thickBot="1" x14ac:dyDescent="0.25">
      <c r="B17" s="255" t="s">
        <v>110</v>
      </c>
      <c r="C17" s="256"/>
      <c r="D17" s="256" t="s">
        <v>111</v>
      </c>
      <c r="E17" s="256" t="s">
        <v>128</v>
      </c>
      <c r="F17" s="191" t="s">
        <v>326</v>
      </c>
      <c r="G17" s="257" t="s">
        <v>164</v>
      </c>
      <c r="H17" s="256" t="s">
        <v>50</v>
      </c>
      <c r="I17" s="256"/>
      <c r="J17" s="481" t="s">
        <v>634</v>
      </c>
      <c r="K17" s="481" t="s">
        <v>68</v>
      </c>
      <c r="L17" s="481" t="s">
        <v>76</v>
      </c>
      <c r="M17" s="788">
        <v>10081617078.620001</v>
      </c>
      <c r="N17" s="786"/>
      <c r="O17" s="481" t="s">
        <v>99</v>
      </c>
      <c r="P17" s="787" t="s">
        <v>79</v>
      </c>
      <c r="Q17" s="484">
        <v>41354</v>
      </c>
      <c r="R17" s="623" t="s">
        <v>122</v>
      </c>
      <c r="S17" s="623" t="s">
        <v>122</v>
      </c>
      <c r="T17" s="623" t="s">
        <v>122</v>
      </c>
      <c r="U17" s="623">
        <v>41362</v>
      </c>
      <c r="V17" s="623">
        <v>41355</v>
      </c>
      <c r="W17" s="623">
        <v>41377</v>
      </c>
      <c r="X17" s="623">
        <v>41375</v>
      </c>
      <c r="Y17" s="623">
        <v>41397</v>
      </c>
      <c r="Z17" s="623">
        <v>41394</v>
      </c>
      <c r="AA17" s="623" t="s">
        <v>122</v>
      </c>
      <c r="AB17" s="623" t="s">
        <v>122</v>
      </c>
      <c r="AC17" s="623">
        <v>41429</v>
      </c>
      <c r="AD17" s="623">
        <v>41417</v>
      </c>
      <c r="AE17" s="623">
        <v>41916</v>
      </c>
      <c r="AF17" s="780">
        <v>42040</v>
      </c>
      <c r="AG17" s="296" t="s">
        <v>444</v>
      </c>
      <c r="AH17" s="482">
        <v>8624841655</v>
      </c>
      <c r="AI17" s="262" t="s">
        <v>448</v>
      </c>
      <c r="AJ17" s="263">
        <f t="shared" si="0"/>
        <v>2013</v>
      </c>
      <c r="AK17" s="281"/>
      <c r="AO17" s="265"/>
    </row>
    <row r="18" spans="2:41" s="264" customFormat="1" ht="64.5" thickBot="1" x14ac:dyDescent="0.25">
      <c r="B18" s="253" t="s">
        <v>110</v>
      </c>
      <c r="C18" s="254"/>
      <c r="D18" s="254" t="s">
        <v>111</v>
      </c>
      <c r="E18" s="254" t="s">
        <v>128</v>
      </c>
      <c r="F18" s="199" t="s">
        <v>421</v>
      </c>
      <c r="G18" s="252" t="s">
        <v>170</v>
      </c>
      <c r="H18" s="254" t="s">
        <v>50</v>
      </c>
      <c r="I18" s="254"/>
      <c r="J18" s="481" t="s">
        <v>635</v>
      </c>
      <c r="K18" s="773" t="s">
        <v>68</v>
      </c>
      <c r="L18" s="773" t="s">
        <v>76</v>
      </c>
      <c r="M18" s="788">
        <v>17001067611.52</v>
      </c>
      <c r="N18" s="789"/>
      <c r="O18" s="773" t="s">
        <v>99</v>
      </c>
      <c r="P18" s="790" t="s">
        <v>79</v>
      </c>
      <c r="Q18" s="484">
        <v>41410</v>
      </c>
      <c r="R18" s="776" t="s">
        <v>122</v>
      </c>
      <c r="S18" s="776" t="s">
        <v>122</v>
      </c>
      <c r="T18" s="776" t="s">
        <v>122</v>
      </c>
      <c r="U18" s="623">
        <v>41418</v>
      </c>
      <c r="V18" s="623">
        <v>41295</v>
      </c>
      <c r="W18" s="623">
        <v>41433</v>
      </c>
      <c r="X18" s="623">
        <v>41311</v>
      </c>
      <c r="Y18" s="623">
        <v>41453</v>
      </c>
      <c r="Z18" s="623">
        <v>41334</v>
      </c>
      <c r="AA18" s="776" t="s">
        <v>122</v>
      </c>
      <c r="AB18" s="776" t="s">
        <v>122</v>
      </c>
      <c r="AC18" s="776">
        <v>41485</v>
      </c>
      <c r="AD18" s="623">
        <v>41352</v>
      </c>
      <c r="AE18" s="623">
        <v>41912</v>
      </c>
      <c r="AF18" s="780">
        <v>42096</v>
      </c>
      <c r="AG18" s="296" t="s">
        <v>401</v>
      </c>
      <c r="AH18" s="482">
        <v>13699416477.530001</v>
      </c>
      <c r="AI18" s="262" t="s">
        <v>448</v>
      </c>
      <c r="AJ18" s="263">
        <f>+YEAR(AC18)</f>
        <v>2013</v>
      </c>
      <c r="AK18" s="281"/>
      <c r="AO18" s="265"/>
    </row>
    <row r="19" spans="2:41" s="264" customFormat="1" ht="128.25" thickBot="1" x14ac:dyDescent="0.25">
      <c r="B19" s="255" t="s">
        <v>110</v>
      </c>
      <c r="C19" s="256"/>
      <c r="D19" s="256" t="s">
        <v>111</v>
      </c>
      <c r="E19" s="256" t="s">
        <v>128</v>
      </c>
      <c r="F19" s="191" t="s">
        <v>422</v>
      </c>
      <c r="G19" s="257" t="s">
        <v>402</v>
      </c>
      <c r="H19" s="256" t="s">
        <v>50</v>
      </c>
      <c r="I19" s="256"/>
      <c r="J19" s="481" t="s">
        <v>636</v>
      </c>
      <c r="K19" s="481" t="s">
        <v>68</v>
      </c>
      <c r="L19" s="481" t="s">
        <v>76</v>
      </c>
      <c r="M19" s="788">
        <v>5269336875</v>
      </c>
      <c r="N19" s="786"/>
      <c r="O19" s="481" t="s">
        <v>99</v>
      </c>
      <c r="P19" s="787" t="s">
        <v>79</v>
      </c>
      <c r="Q19" s="484">
        <v>41426</v>
      </c>
      <c r="R19" s="623" t="s">
        <v>122</v>
      </c>
      <c r="S19" s="623" t="s">
        <v>122</v>
      </c>
      <c r="T19" s="623" t="s">
        <v>122</v>
      </c>
      <c r="U19" s="623">
        <v>41434</v>
      </c>
      <c r="V19" s="623">
        <v>41506</v>
      </c>
      <c r="W19" s="623">
        <v>41449</v>
      </c>
      <c r="X19" s="623">
        <v>41521</v>
      </c>
      <c r="Y19" s="623">
        <v>41469</v>
      </c>
      <c r="Z19" s="623" t="s">
        <v>450</v>
      </c>
      <c r="AA19" s="623" t="s">
        <v>122</v>
      </c>
      <c r="AB19" s="623" t="s">
        <v>122</v>
      </c>
      <c r="AC19" s="623">
        <v>41501</v>
      </c>
      <c r="AD19" s="623">
        <v>41569</v>
      </c>
      <c r="AE19" s="623">
        <v>41866</v>
      </c>
      <c r="AF19" s="780">
        <v>42017</v>
      </c>
      <c r="AG19" s="266" t="s">
        <v>528</v>
      </c>
      <c r="AH19" s="482">
        <v>4456732153</v>
      </c>
      <c r="AI19" s="262" t="s">
        <v>448</v>
      </c>
      <c r="AJ19" s="263">
        <f t="shared" si="0"/>
        <v>2013</v>
      </c>
      <c r="AO19" s="265"/>
    </row>
    <row r="20" spans="2:41" s="264" customFormat="1" ht="77.25" thickBot="1" x14ac:dyDescent="0.25">
      <c r="B20" s="255" t="s">
        <v>456</v>
      </c>
      <c r="C20" s="256"/>
      <c r="D20" s="256" t="s">
        <v>111</v>
      </c>
      <c r="E20" s="256" t="s">
        <v>128</v>
      </c>
      <c r="F20" s="191" t="s">
        <v>457</v>
      </c>
      <c r="G20" s="257" t="s">
        <v>329</v>
      </c>
      <c r="H20" s="256" t="s">
        <v>50</v>
      </c>
      <c r="I20" s="256"/>
      <c r="J20" s="481" t="s">
        <v>637</v>
      </c>
      <c r="K20" s="481" t="s">
        <v>68</v>
      </c>
      <c r="L20" s="481" t="s">
        <v>76</v>
      </c>
      <c r="M20" s="788">
        <v>5908664668</v>
      </c>
      <c r="N20" s="786"/>
      <c r="O20" s="481" t="s">
        <v>99</v>
      </c>
      <c r="P20" s="787" t="s">
        <v>79</v>
      </c>
      <c r="Q20" s="484">
        <v>41669</v>
      </c>
      <c r="R20" s="623" t="s">
        <v>122</v>
      </c>
      <c r="S20" s="623" t="s">
        <v>122</v>
      </c>
      <c r="T20" s="623" t="s">
        <v>122</v>
      </c>
      <c r="U20" s="623">
        <v>41677</v>
      </c>
      <c r="V20" s="623">
        <v>41569</v>
      </c>
      <c r="W20" s="623">
        <v>41692</v>
      </c>
      <c r="X20" s="623">
        <v>41586</v>
      </c>
      <c r="Y20" s="623">
        <v>41712</v>
      </c>
      <c r="Z20" s="623">
        <v>41617</v>
      </c>
      <c r="AA20" s="623" t="s">
        <v>122</v>
      </c>
      <c r="AB20" s="623" t="s">
        <v>122</v>
      </c>
      <c r="AC20" s="623">
        <v>41744</v>
      </c>
      <c r="AD20" s="623">
        <v>41624</v>
      </c>
      <c r="AE20" s="623">
        <v>41988</v>
      </c>
      <c r="AF20" s="780">
        <v>42063</v>
      </c>
      <c r="AG20" s="266" t="s">
        <v>539</v>
      </c>
      <c r="AH20" s="482">
        <v>5933657312</v>
      </c>
      <c r="AI20" s="262" t="s">
        <v>448</v>
      </c>
      <c r="AJ20" s="263">
        <f t="shared" ref="AJ20:AJ27" si="1">+YEAR(AC20)</f>
        <v>2014</v>
      </c>
      <c r="AL20" s="264">
        <v>1000000</v>
      </c>
      <c r="AO20" s="265"/>
    </row>
    <row r="21" spans="2:41" s="264" customFormat="1" ht="77.25" thickBot="1" x14ac:dyDescent="0.25">
      <c r="B21" s="255" t="s">
        <v>456</v>
      </c>
      <c r="C21" s="256"/>
      <c r="D21" s="256" t="s">
        <v>111</v>
      </c>
      <c r="E21" s="256" t="s">
        <v>128</v>
      </c>
      <c r="F21" s="191" t="s">
        <v>458</v>
      </c>
      <c r="G21" s="257" t="s">
        <v>330</v>
      </c>
      <c r="H21" s="256" t="s">
        <v>50</v>
      </c>
      <c r="I21" s="256"/>
      <c r="J21" s="481" t="s">
        <v>638</v>
      </c>
      <c r="K21" s="481" t="s">
        <v>68</v>
      </c>
      <c r="L21" s="481" t="s">
        <v>76</v>
      </c>
      <c r="M21" s="788">
        <v>2686696606</v>
      </c>
      <c r="N21" s="786"/>
      <c r="O21" s="481" t="s">
        <v>99</v>
      </c>
      <c r="P21" s="787" t="s">
        <v>79</v>
      </c>
      <c r="Q21" s="484">
        <v>41669</v>
      </c>
      <c r="R21" s="623" t="s">
        <v>122</v>
      </c>
      <c r="S21" s="623" t="s">
        <v>122</v>
      </c>
      <c r="T21" s="623" t="s">
        <v>122</v>
      </c>
      <c r="U21" s="623">
        <v>41677</v>
      </c>
      <c r="V21" s="623">
        <v>41591</v>
      </c>
      <c r="W21" s="623">
        <v>41692</v>
      </c>
      <c r="X21" s="623">
        <v>41606</v>
      </c>
      <c r="Y21" s="623">
        <v>41712</v>
      </c>
      <c r="Z21" s="623">
        <v>41624</v>
      </c>
      <c r="AA21" s="623" t="s">
        <v>122</v>
      </c>
      <c r="AB21" s="623" t="s">
        <v>122</v>
      </c>
      <c r="AC21" s="623">
        <v>41744</v>
      </c>
      <c r="AD21" s="623">
        <v>41659</v>
      </c>
      <c r="AE21" s="623">
        <v>41897</v>
      </c>
      <c r="AF21" s="780">
        <v>41998</v>
      </c>
      <c r="AG21" s="266" t="s">
        <v>566</v>
      </c>
      <c r="AH21" s="482">
        <v>2686696606</v>
      </c>
      <c r="AI21" s="262" t="s">
        <v>448</v>
      </c>
      <c r="AJ21" s="263">
        <f t="shared" si="1"/>
        <v>2014</v>
      </c>
      <c r="AO21" s="265"/>
    </row>
    <row r="22" spans="2:41" s="264" customFormat="1" ht="77.25" thickBot="1" x14ac:dyDescent="0.25">
      <c r="B22" s="255" t="s">
        <v>456</v>
      </c>
      <c r="C22" s="256"/>
      <c r="D22" s="256" t="s">
        <v>111</v>
      </c>
      <c r="E22" s="256" t="s">
        <v>128</v>
      </c>
      <c r="F22" s="549" t="s">
        <v>554</v>
      </c>
      <c r="G22" s="257" t="s">
        <v>352</v>
      </c>
      <c r="H22" s="256" t="s">
        <v>50</v>
      </c>
      <c r="I22" s="256"/>
      <c r="J22" s="481" t="s">
        <v>639</v>
      </c>
      <c r="K22" s="481"/>
      <c r="L22" s="481" t="s">
        <v>76</v>
      </c>
      <c r="M22" s="788">
        <v>4724545716</v>
      </c>
      <c r="N22" s="786"/>
      <c r="O22" s="481" t="s">
        <v>99</v>
      </c>
      <c r="P22" s="787"/>
      <c r="Q22" s="484">
        <v>42217</v>
      </c>
      <c r="R22" s="623" t="s">
        <v>122</v>
      </c>
      <c r="S22" s="623" t="s">
        <v>122</v>
      </c>
      <c r="T22" s="623" t="s">
        <v>122</v>
      </c>
      <c r="U22" s="623">
        <v>42225</v>
      </c>
      <c r="V22" s="623">
        <v>42011</v>
      </c>
      <c r="W22" s="623">
        <v>42240</v>
      </c>
      <c r="X22" s="623">
        <v>42027</v>
      </c>
      <c r="Y22" s="623">
        <v>42260</v>
      </c>
      <c r="Z22" s="623">
        <v>42051</v>
      </c>
      <c r="AA22" s="623" t="s">
        <v>122</v>
      </c>
      <c r="AB22" s="623">
        <v>42061</v>
      </c>
      <c r="AC22" s="623">
        <v>42292</v>
      </c>
      <c r="AD22" s="623">
        <v>42067</v>
      </c>
      <c r="AE22" s="623">
        <v>42536</v>
      </c>
      <c r="AF22" s="780">
        <v>42592</v>
      </c>
      <c r="AG22" s="266" t="s">
        <v>567</v>
      </c>
      <c r="AH22" s="482">
        <v>4724545716</v>
      </c>
      <c r="AI22" s="262" t="s">
        <v>448</v>
      </c>
      <c r="AJ22" s="263">
        <f t="shared" si="1"/>
        <v>2015</v>
      </c>
      <c r="AL22" s="518">
        <v>1000000</v>
      </c>
      <c r="AO22" s="265"/>
    </row>
    <row r="23" spans="2:41" s="264" customFormat="1" ht="77.25" thickBot="1" x14ac:dyDescent="0.25">
      <c r="B23" s="646" t="s">
        <v>456</v>
      </c>
      <c r="C23" s="647"/>
      <c r="D23" s="256" t="s">
        <v>111</v>
      </c>
      <c r="E23" s="256" t="s">
        <v>128</v>
      </c>
      <c r="F23" s="191" t="s">
        <v>612</v>
      </c>
      <c r="G23" s="257">
        <v>204</v>
      </c>
      <c r="H23" s="256" t="s">
        <v>50</v>
      </c>
      <c r="I23" s="256"/>
      <c r="J23" s="481" t="s">
        <v>640</v>
      </c>
      <c r="K23" s="481" t="s">
        <v>68</v>
      </c>
      <c r="L23" s="481" t="s">
        <v>76</v>
      </c>
      <c r="M23" s="786">
        <v>2517343458</v>
      </c>
      <c r="N23" s="786"/>
      <c r="O23" s="481" t="s">
        <v>99</v>
      </c>
      <c r="P23" s="787"/>
      <c r="Q23" s="484">
        <v>43012</v>
      </c>
      <c r="R23" s="623" t="s">
        <v>122</v>
      </c>
      <c r="S23" s="623" t="s">
        <v>122</v>
      </c>
      <c r="T23" s="623" t="s">
        <v>122</v>
      </c>
      <c r="U23" s="623">
        <v>43020</v>
      </c>
      <c r="V23" s="623">
        <v>42969</v>
      </c>
      <c r="W23" s="623">
        <v>43035</v>
      </c>
      <c r="X23" s="623">
        <v>42984</v>
      </c>
      <c r="Y23" s="623">
        <v>43055</v>
      </c>
      <c r="Z23" s="623">
        <v>43027</v>
      </c>
      <c r="AA23" s="623" t="s">
        <v>122</v>
      </c>
      <c r="AB23" s="623">
        <v>43031</v>
      </c>
      <c r="AC23" s="623">
        <v>43087</v>
      </c>
      <c r="AD23" s="623">
        <v>43047</v>
      </c>
      <c r="AE23" s="623">
        <v>43269</v>
      </c>
      <c r="AF23" s="780" t="s">
        <v>122</v>
      </c>
      <c r="AG23" s="266" t="s">
        <v>641</v>
      </c>
      <c r="AH23" s="482">
        <v>2517343458</v>
      </c>
      <c r="AI23" s="262" t="s">
        <v>565</v>
      </c>
      <c r="AJ23" s="263">
        <f>+YEAR(AC23)</f>
        <v>2017</v>
      </c>
      <c r="AO23" s="265"/>
    </row>
    <row r="24" spans="2:41" s="264" customFormat="1" ht="64.5" thickBot="1" x14ac:dyDescent="0.25">
      <c r="B24" s="646" t="s">
        <v>456</v>
      </c>
      <c r="C24" s="647"/>
      <c r="D24" s="256" t="s">
        <v>111</v>
      </c>
      <c r="E24" s="256" t="s">
        <v>128</v>
      </c>
      <c r="F24" s="191" t="s">
        <v>613</v>
      </c>
      <c r="G24" s="257" t="s">
        <v>611</v>
      </c>
      <c r="H24" s="256" t="s">
        <v>50</v>
      </c>
      <c r="I24" s="256"/>
      <c r="J24" s="481" t="s">
        <v>122</v>
      </c>
      <c r="K24" s="481" t="s">
        <v>68</v>
      </c>
      <c r="L24" s="481" t="s">
        <v>76</v>
      </c>
      <c r="M24" s="788">
        <v>2758000000</v>
      </c>
      <c r="N24" s="786"/>
      <c r="O24" s="481" t="s">
        <v>99</v>
      </c>
      <c r="P24" s="787" t="s">
        <v>79</v>
      </c>
      <c r="Q24" s="484">
        <f>+AC24-75</f>
        <v>43431</v>
      </c>
      <c r="R24" s="623" t="s">
        <v>122</v>
      </c>
      <c r="S24" s="623" t="s">
        <v>122</v>
      </c>
      <c r="T24" s="623" t="s">
        <v>122</v>
      </c>
      <c r="U24" s="623">
        <f>+Q24+8</f>
        <v>43439</v>
      </c>
      <c r="V24" s="623" t="s">
        <v>122</v>
      </c>
      <c r="W24" s="623">
        <f>+U24+15</f>
        <v>43454</v>
      </c>
      <c r="X24" s="623" t="s">
        <v>122</v>
      </c>
      <c r="Y24" s="623">
        <f>+W24+20</f>
        <v>43474</v>
      </c>
      <c r="Z24" s="623" t="s">
        <v>122</v>
      </c>
      <c r="AA24" s="623" t="s">
        <v>122</v>
      </c>
      <c r="AB24" s="623" t="s">
        <v>122</v>
      </c>
      <c r="AC24" s="623">
        <v>43506</v>
      </c>
      <c r="AD24" s="623" t="s">
        <v>122</v>
      </c>
      <c r="AE24" s="623">
        <f>EDATE(AC24+30,VLOOKUP(G24,POA!$B$71:$C$292,2,FALSE))</f>
        <v>43750</v>
      </c>
      <c r="AF24" s="780" t="s">
        <v>122</v>
      </c>
      <c r="AG24" s="791" t="s">
        <v>122</v>
      </c>
      <c r="AH24" s="792" t="s">
        <v>122</v>
      </c>
      <c r="AI24" s="262" t="s">
        <v>653</v>
      </c>
      <c r="AJ24" s="263"/>
      <c r="AO24" s="265"/>
    </row>
    <row r="25" spans="2:41" ht="90" thickBot="1" x14ac:dyDescent="0.25">
      <c r="B25" s="189" t="s">
        <v>456</v>
      </c>
      <c r="C25" s="190"/>
      <c r="D25" s="190" t="s">
        <v>111</v>
      </c>
      <c r="E25" s="190" t="s">
        <v>128</v>
      </c>
      <c r="F25" s="549" t="s">
        <v>585</v>
      </c>
      <c r="G25" s="483" t="s">
        <v>642</v>
      </c>
      <c r="H25" s="190" t="s">
        <v>50</v>
      </c>
      <c r="I25" s="190"/>
      <c r="J25" s="481" t="s">
        <v>654</v>
      </c>
      <c r="K25" s="481" t="s">
        <v>68</v>
      </c>
      <c r="L25" s="481" t="s">
        <v>76</v>
      </c>
      <c r="M25" s="702">
        <v>11417683759</v>
      </c>
      <c r="N25" s="786"/>
      <c r="O25" s="481" t="s">
        <v>99</v>
      </c>
      <c r="P25" s="787" t="s">
        <v>79</v>
      </c>
      <c r="Q25" s="484">
        <f>+AC25-75</f>
        <v>43196</v>
      </c>
      <c r="R25" s="623" t="s">
        <v>122</v>
      </c>
      <c r="S25" s="623" t="s">
        <v>122</v>
      </c>
      <c r="T25" s="623" t="s">
        <v>122</v>
      </c>
      <c r="U25" s="623">
        <f t="shared" ref="U25:U27" si="2">+Q25+8</f>
        <v>43204</v>
      </c>
      <c r="V25" s="623">
        <v>43019</v>
      </c>
      <c r="W25" s="623">
        <f t="shared" ref="W25:W27" si="3">+U25+15</f>
        <v>43219</v>
      </c>
      <c r="X25" s="623">
        <v>43054</v>
      </c>
      <c r="Y25" s="623">
        <f t="shared" ref="Y25:Y34" si="4">+W25+20</f>
        <v>43239</v>
      </c>
      <c r="Z25" s="623">
        <v>43116</v>
      </c>
      <c r="AA25" s="623" t="s">
        <v>122</v>
      </c>
      <c r="AB25" s="623">
        <f>+Z25</f>
        <v>43116</v>
      </c>
      <c r="AC25" s="742">
        <v>43271</v>
      </c>
      <c r="AD25" s="623">
        <v>43131</v>
      </c>
      <c r="AE25" s="623">
        <f>EDATE(AC25,VLOOKUP(G25,POA!$B$71:$C$292,2,FALSE))</f>
        <v>43636</v>
      </c>
      <c r="AF25" s="780" t="s">
        <v>122</v>
      </c>
      <c r="AG25" s="266" t="s">
        <v>655</v>
      </c>
      <c r="AH25" s="482">
        <v>11417683759</v>
      </c>
      <c r="AI25" s="262" t="s">
        <v>656</v>
      </c>
      <c r="AJ25" s="263">
        <f t="shared" si="1"/>
        <v>2018</v>
      </c>
      <c r="AO25" s="2"/>
    </row>
    <row r="26" spans="2:41" ht="44.25" customHeight="1" thickBot="1" x14ac:dyDescent="0.25">
      <c r="B26" s="189" t="s">
        <v>456</v>
      </c>
      <c r="C26" s="190"/>
      <c r="D26" s="190" t="s">
        <v>111</v>
      </c>
      <c r="E26" s="190" t="s">
        <v>128</v>
      </c>
      <c r="F26" s="684" t="s">
        <v>620</v>
      </c>
      <c r="G26" s="483" t="s">
        <v>167</v>
      </c>
      <c r="H26" s="190" t="s">
        <v>50</v>
      </c>
      <c r="I26" s="190"/>
      <c r="J26" s="481" t="s">
        <v>122</v>
      </c>
      <c r="K26" s="481" t="s">
        <v>68</v>
      </c>
      <c r="L26" s="481" t="s">
        <v>76</v>
      </c>
      <c r="M26" s="700">
        <v>12000000000</v>
      </c>
      <c r="N26" s="521"/>
      <c r="O26" s="190" t="s">
        <v>99</v>
      </c>
      <c r="P26" s="194" t="s">
        <v>79</v>
      </c>
      <c r="Q26" s="195">
        <f>+AC26-75</f>
        <v>43318</v>
      </c>
      <c r="R26" s="196" t="s">
        <v>122</v>
      </c>
      <c r="S26" s="196" t="s">
        <v>122</v>
      </c>
      <c r="T26" s="196" t="s">
        <v>122</v>
      </c>
      <c r="U26" s="196">
        <f>+Q26+8</f>
        <v>43326</v>
      </c>
      <c r="V26" s="196" t="s">
        <v>122</v>
      </c>
      <c r="W26" s="196">
        <f>+U26+15</f>
        <v>43341</v>
      </c>
      <c r="X26" s="196" t="s">
        <v>122</v>
      </c>
      <c r="Y26" s="196">
        <f>+W26+20</f>
        <v>43361</v>
      </c>
      <c r="Z26" s="196" t="s">
        <v>122</v>
      </c>
      <c r="AA26" s="196" t="s">
        <v>122</v>
      </c>
      <c r="AB26" s="196" t="s">
        <v>122</v>
      </c>
      <c r="AC26" s="741">
        <v>43393</v>
      </c>
      <c r="AD26" s="196" t="s">
        <v>122</v>
      </c>
      <c r="AE26" s="196">
        <f>EDATE(AC26,VLOOKUP(G26,POA!$B$71:$C$292,2,FALSE))</f>
        <v>43758</v>
      </c>
      <c r="AF26" s="294" t="s">
        <v>122</v>
      </c>
      <c r="AG26" s="197" t="s">
        <v>122</v>
      </c>
      <c r="AH26" s="482" t="s">
        <v>122</v>
      </c>
      <c r="AI26" s="198" t="s">
        <v>122</v>
      </c>
      <c r="AJ26" s="263">
        <f>+YEAR(AC26)</f>
        <v>2018</v>
      </c>
      <c r="AO26" s="2"/>
    </row>
    <row r="27" spans="2:41" s="264" customFormat="1" ht="96" customHeight="1" thickBot="1" x14ac:dyDescent="0.25">
      <c r="B27" s="255" t="s">
        <v>456</v>
      </c>
      <c r="C27" s="256"/>
      <c r="D27" s="256" t="s">
        <v>111</v>
      </c>
      <c r="E27" s="256" t="s">
        <v>128</v>
      </c>
      <c r="F27" s="549" t="s">
        <v>540</v>
      </c>
      <c r="G27" s="257" t="s">
        <v>186</v>
      </c>
      <c r="H27" s="256" t="s">
        <v>50</v>
      </c>
      <c r="I27" s="256"/>
      <c r="J27" s="481" t="s">
        <v>643</v>
      </c>
      <c r="K27" s="481" t="s">
        <v>68</v>
      </c>
      <c r="L27" s="481" t="s">
        <v>76</v>
      </c>
      <c r="M27" s="775">
        <v>7940149046</v>
      </c>
      <c r="N27" s="786"/>
      <c r="O27" s="481" t="s">
        <v>99</v>
      </c>
      <c r="P27" s="787" t="s">
        <v>79</v>
      </c>
      <c r="Q27" s="484">
        <f t="shared" ref="Q27" si="5">+AC27-75</f>
        <v>42127</v>
      </c>
      <c r="R27" s="623" t="s">
        <v>122</v>
      </c>
      <c r="S27" s="623" t="s">
        <v>122</v>
      </c>
      <c r="T27" s="623" t="s">
        <v>122</v>
      </c>
      <c r="U27" s="623">
        <f t="shared" si="2"/>
        <v>42135</v>
      </c>
      <c r="V27" s="623">
        <v>42009</v>
      </c>
      <c r="W27" s="623">
        <f t="shared" si="3"/>
        <v>42150</v>
      </c>
      <c r="X27" s="623">
        <v>42027</v>
      </c>
      <c r="Y27" s="623">
        <f t="shared" si="4"/>
        <v>42170</v>
      </c>
      <c r="Z27" s="623">
        <v>42041</v>
      </c>
      <c r="AA27" s="623" t="s">
        <v>122</v>
      </c>
      <c r="AB27" s="623" t="s">
        <v>122</v>
      </c>
      <c r="AC27" s="623">
        <v>42202</v>
      </c>
      <c r="AD27" s="623">
        <v>42068</v>
      </c>
      <c r="AE27" s="623">
        <f>EDATE(AC27,VLOOKUP(G27,POA!$B$71:$C$292,2,FALSE))</f>
        <v>42599</v>
      </c>
      <c r="AF27" s="780">
        <v>43029</v>
      </c>
      <c r="AG27" s="266" t="s">
        <v>568</v>
      </c>
      <c r="AH27" s="482">
        <v>11240149046</v>
      </c>
      <c r="AI27" s="262" t="s">
        <v>558</v>
      </c>
      <c r="AJ27" s="263">
        <f t="shared" si="1"/>
        <v>2015</v>
      </c>
      <c r="AL27" s="264">
        <v>10528495395</v>
      </c>
      <c r="AM27" s="264">
        <v>8503500000</v>
      </c>
      <c r="AN27" s="264">
        <f>+AL27-AM27</f>
        <v>2024995395</v>
      </c>
      <c r="AO27" s="265"/>
    </row>
    <row r="28" spans="2:41" s="264" customFormat="1" ht="69" customHeight="1" thickBot="1" x14ac:dyDescent="0.25">
      <c r="B28" s="255" t="s">
        <v>110</v>
      </c>
      <c r="C28" s="256"/>
      <c r="D28" s="256" t="s">
        <v>111</v>
      </c>
      <c r="E28" s="256" t="s">
        <v>128</v>
      </c>
      <c r="F28" s="191" t="s">
        <v>327</v>
      </c>
      <c r="G28" s="257" t="s">
        <v>166</v>
      </c>
      <c r="H28" s="256"/>
      <c r="I28" s="256"/>
      <c r="J28" s="481" t="s">
        <v>122</v>
      </c>
      <c r="K28" s="481" t="s">
        <v>68</v>
      </c>
      <c r="L28" s="481" t="s">
        <v>76</v>
      </c>
      <c r="M28" s="633">
        <v>0</v>
      </c>
      <c r="N28" s="656"/>
      <c r="O28" s="256" t="s">
        <v>99</v>
      </c>
      <c r="P28" s="258" t="s">
        <v>79</v>
      </c>
      <c r="Q28" s="259" t="s">
        <v>122</v>
      </c>
      <c r="R28" s="260" t="s">
        <v>122</v>
      </c>
      <c r="S28" s="260" t="s">
        <v>122</v>
      </c>
      <c r="T28" s="260" t="s">
        <v>122</v>
      </c>
      <c r="U28" s="260" t="s">
        <v>122</v>
      </c>
      <c r="V28" s="260" t="s">
        <v>122</v>
      </c>
      <c r="W28" s="260" t="s">
        <v>122</v>
      </c>
      <c r="X28" s="260" t="s">
        <v>122</v>
      </c>
      <c r="Y28" s="260" t="s">
        <v>122</v>
      </c>
      <c r="Z28" s="260" t="s">
        <v>122</v>
      </c>
      <c r="AA28" s="260" t="s">
        <v>122</v>
      </c>
      <c r="AB28" s="260" t="s">
        <v>122</v>
      </c>
      <c r="AC28" s="260" t="s">
        <v>122</v>
      </c>
      <c r="AD28" s="260" t="s">
        <v>122</v>
      </c>
      <c r="AE28" s="260" t="s">
        <v>122</v>
      </c>
      <c r="AF28" s="261" t="s">
        <v>122</v>
      </c>
      <c r="AG28" s="266" t="s">
        <v>122</v>
      </c>
      <c r="AH28" s="256" t="s">
        <v>122</v>
      </c>
      <c r="AI28" s="262" t="s">
        <v>122</v>
      </c>
      <c r="AJ28" s="263"/>
      <c r="AO28" s="265"/>
    </row>
    <row r="29" spans="2:41" s="264" customFormat="1" ht="76.5" customHeight="1" thickBot="1" x14ac:dyDescent="0.25">
      <c r="B29" s="253" t="s">
        <v>110</v>
      </c>
      <c r="C29" s="254"/>
      <c r="D29" s="254" t="s">
        <v>111</v>
      </c>
      <c r="E29" s="254" t="s">
        <v>128</v>
      </c>
      <c r="F29" s="550" t="s">
        <v>455</v>
      </c>
      <c r="G29" s="252" t="s">
        <v>328</v>
      </c>
      <c r="H29" s="254" t="s">
        <v>50</v>
      </c>
      <c r="I29" s="254"/>
      <c r="J29" s="481" t="s">
        <v>644</v>
      </c>
      <c r="K29" s="481" t="s">
        <v>68</v>
      </c>
      <c r="L29" s="481" t="s">
        <v>76</v>
      </c>
      <c r="M29" s="775">
        <v>4162509254</v>
      </c>
      <c r="N29" s="786"/>
      <c r="O29" s="481" t="s">
        <v>99</v>
      </c>
      <c r="P29" s="787" t="s">
        <v>79</v>
      </c>
      <c r="Q29" s="484">
        <f t="shared" ref="Q29:Q34" si="6">+AC29-75</f>
        <v>42451</v>
      </c>
      <c r="R29" s="623" t="s">
        <v>122</v>
      </c>
      <c r="S29" s="623" t="s">
        <v>122</v>
      </c>
      <c r="T29" s="623" t="s">
        <v>122</v>
      </c>
      <c r="U29" s="623">
        <f t="shared" ref="U29:U34" si="7">+Q29+8</f>
        <v>42459</v>
      </c>
      <c r="V29" s="623">
        <v>42458</v>
      </c>
      <c r="W29" s="623">
        <f t="shared" ref="W29:W34" si="8">+U29+15</f>
        <v>42474</v>
      </c>
      <c r="X29" s="623">
        <v>42478</v>
      </c>
      <c r="Y29" s="623">
        <f t="shared" si="4"/>
        <v>42494</v>
      </c>
      <c r="Z29" s="623">
        <v>42501</v>
      </c>
      <c r="AA29" s="623" t="s">
        <v>122</v>
      </c>
      <c r="AB29" s="623">
        <v>42515</v>
      </c>
      <c r="AC29" s="623">
        <v>42526</v>
      </c>
      <c r="AD29" s="623">
        <v>42521</v>
      </c>
      <c r="AE29" s="623">
        <f>EDATE(AC29,VLOOKUP(G29,POA!$B$71:$C$292,2,FALSE))</f>
        <v>42709</v>
      </c>
      <c r="AF29" s="780">
        <v>42832</v>
      </c>
      <c r="AG29" s="266" t="s">
        <v>645</v>
      </c>
      <c r="AH29" s="482">
        <v>4162509254</v>
      </c>
      <c r="AI29" s="262" t="s">
        <v>448</v>
      </c>
      <c r="AJ29" s="263">
        <f t="shared" si="0"/>
        <v>2016</v>
      </c>
      <c r="AO29" s="265"/>
    </row>
    <row r="30" spans="2:41" s="264" customFormat="1" ht="96.75" customHeight="1" thickBot="1" x14ac:dyDescent="0.25">
      <c r="B30" s="255" t="s">
        <v>456</v>
      </c>
      <c r="C30" s="256"/>
      <c r="D30" s="256" t="s">
        <v>111</v>
      </c>
      <c r="E30" s="256" t="s">
        <v>128</v>
      </c>
      <c r="F30" s="549" t="s">
        <v>624</v>
      </c>
      <c r="G30" s="257" t="s">
        <v>622</v>
      </c>
      <c r="H30" s="256" t="s">
        <v>50</v>
      </c>
      <c r="I30" s="256"/>
      <c r="J30" s="481" t="s">
        <v>646</v>
      </c>
      <c r="K30" s="481" t="s">
        <v>68</v>
      </c>
      <c r="L30" s="481" t="s">
        <v>76</v>
      </c>
      <c r="M30" s="701">
        <v>5434054875</v>
      </c>
      <c r="N30" s="786"/>
      <c r="O30" s="481" t="s">
        <v>99</v>
      </c>
      <c r="P30" s="787" t="s">
        <v>79</v>
      </c>
      <c r="Q30" s="484">
        <f t="shared" si="6"/>
        <v>43009</v>
      </c>
      <c r="R30" s="623" t="s">
        <v>122</v>
      </c>
      <c r="S30" s="623" t="s">
        <v>122</v>
      </c>
      <c r="T30" s="623" t="s">
        <v>122</v>
      </c>
      <c r="U30" s="623">
        <f t="shared" si="7"/>
        <v>43017</v>
      </c>
      <c r="V30" s="623">
        <v>42975</v>
      </c>
      <c r="W30" s="623">
        <f t="shared" si="8"/>
        <v>43032</v>
      </c>
      <c r="X30" s="623">
        <v>42990</v>
      </c>
      <c r="Y30" s="623">
        <f t="shared" si="4"/>
        <v>43052</v>
      </c>
      <c r="Z30" s="623">
        <v>43017</v>
      </c>
      <c r="AA30" s="623" t="s">
        <v>122</v>
      </c>
      <c r="AB30" s="623">
        <v>43032</v>
      </c>
      <c r="AC30" s="742">
        <v>43084</v>
      </c>
      <c r="AD30" s="260">
        <v>43049</v>
      </c>
      <c r="AE30" s="260">
        <f>EDATE(AC30,VLOOKUP(G30,POA!$B$71:$C$292,2,FALSE))</f>
        <v>43449</v>
      </c>
      <c r="AF30" s="261" t="s">
        <v>122</v>
      </c>
      <c r="AG30" s="266" t="s">
        <v>647</v>
      </c>
      <c r="AH30" s="482">
        <v>5434054875</v>
      </c>
      <c r="AI30" s="262" t="s">
        <v>565</v>
      </c>
      <c r="AJ30" s="263">
        <f>+YEAR(AC30)</f>
        <v>2017</v>
      </c>
      <c r="AO30" s="265"/>
    </row>
    <row r="31" spans="2:41" s="264" customFormat="1" ht="96.75" customHeight="1" thickBot="1" x14ac:dyDescent="0.25">
      <c r="B31" s="255" t="s">
        <v>456</v>
      </c>
      <c r="C31" s="256"/>
      <c r="D31" s="256" t="s">
        <v>111</v>
      </c>
      <c r="E31" s="256" t="s">
        <v>128</v>
      </c>
      <c r="F31" s="549" t="s">
        <v>623</v>
      </c>
      <c r="G31" s="257">
        <v>203</v>
      </c>
      <c r="H31" s="256" t="s">
        <v>50</v>
      </c>
      <c r="I31" s="256"/>
      <c r="J31" s="481" t="s">
        <v>122</v>
      </c>
      <c r="K31" s="481" t="s">
        <v>68</v>
      </c>
      <c r="L31" s="481" t="s">
        <v>76</v>
      </c>
      <c r="M31" s="680">
        <v>1505000000</v>
      </c>
      <c r="N31" s="256"/>
      <c r="O31" s="256" t="s">
        <v>99</v>
      </c>
      <c r="P31" s="258" t="s">
        <v>79</v>
      </c>
      <c r="Q31" s="259">
        <f t="shared" si="6"/>
        <v>43283</v>
      </c>
      <c r="R31" s="260" t="s">
        <v>122</v>
      </c>
      <c r="S31" s="260" t="s">
        <v>122</v>
      </c>
      <c r="T31" s="260" t="s">
        <v>122</v>
      </c>
      <c r="U31" s="260">
        <f t="shared" si="7"/>
        <v>43291</v>
      </c>
      <c r="V31" s="260" t="s">
        <v>122</v>
      </c>
      <c r="W31" s="260">
        <f t="shared" si="8"/>
        <v>43306</v>
      </c>
      <c r="X31" s="260" t="s">
        <v>122</v>
      </c>
      <c r="Y31" s="260">
        <f>+W31+20</f>
        <v>43326</v>
      </c>
      <c r="Z31" s="260" t="s">
        <v>122</v>
      </c>
      <c r="AA31" s="260" t="s">
        <v>122</v>
      </c>
      <c r="AB31" s="260" t="s">
        <v>122</v>
      </c>
      <c r="AC31" s="743">
        <v>43358</v>
      </c>
      <c r="AD31" s="260" t="s">
        <v>122</v>
      </c>
      <c r="AE31" s="260">
        <f>EDATE(AC31,VLOOKUP(G31,POA!$B$71:$C$292,2,FALSE))</f>
        <v>43539</v>
      </c>
      <c r="AF31" s="261" t="s">
        <v>122</v>
      </c>
      <c r="AG31" s="266" t="s">
        <v>122</v>
      </c>
      <c r="AH31" s="256" t="s">
        <v>122</v>
      </c>
      <c r="AI31" s="262" t="s">
        <v>653</v>
      </c>
      <c r="AJ31" s="263">
        <f>+YEAR(AC31)</f>
        <v>2018</v>
      </c>
      <c r="AO31" s="265"/>
    </row>
    <row r="32" spans="2:41" s="264" customFormat="1" ht="77.25" thickBot="1" x14ac:dyDescent="0.25">
      <c r="B32" s="255" t="s">
        <v>456</v>
      </c>
      <c r="C32" s="256"/>
      <c r="D32" s="256" t="s">
        <v>111</v>
      </c>
      <c r="E32" s="256" t="s">
        <v>128</v>
      </c>
      <c r="F32" s="549" t="s">
        <v>559</v>
      </c>
      <c r="G32" s="257" t="s">
        <v>189</v>
      </c>
      <c r="H32" s="256" t="s">
        <v>50</v>
      </c>
      <c r="I32" s="256"/>
      <c r="J32" s="481" t="s">
        <v>648</v>
      </c>
      <c r="K32" s="481" t="s">
        <v>68</v>
      </c>
      <c r="L32" s="481" t="s">
        <v>76</v>
      </c>
      <c r="M32" s="624">
        <f>3713160037+110594120</f>
        <v>3823754157</v>
      </c>
      <c r="N32" s="786"/>
      <c r="O32" s="481" t="s">
        <v>99</v>
      </c>
      <c r="P32" s="787" t="s">
        <v>79</v>
      </c>
      <c r="Q32" s="484">
        <f t="shared" si="6"/>
        <v>42299</v>
      </c>
      <c r="R32" s="623" t="s">
        <v>122</v>
      </c>
      <c r="S32" s="623" t="s">
        <v>122</v>
      </c>
      <c r="T32" s="623" t="s">
        <v>122</v>
      </c>
      <c r="U32" s="623">
        <f t="shared" si="7"/>
        <v>42307</v>
      </c>
      <c r="V32" s="623">
        <v>42314</v>
      </c>
      <c r="W32" s="623">
        <f t="shared" si="8"/>
        <v>42322</v>
      </c>
      <c r="X32" s="623">
        <v>42333</v>
      </c>
      <c r="Y32" s="623">
        <f t="shared" si="4"/>
        <v>42342</v>
      </c>
      <c r="Z32" s="623">
        <v>42359</v>
      </c>
      <c r="AA32" s="623" t="s">
        <v>122</v>
      </c>
      <c r="AB32" s="623">
        <v>42367</v>
      </c>
      <c r="AC32" s="517">
        <v>42374</v>
      </c>
      <c r="AD32" s="623">
        <v>42369</v>
      </c>
      <c r="AE32" s="623">
        <f>EDATE(AC32,VLOOKUP(G32,POA!$B$71:$C$292,2,FALSE))</f>
        <v>42618</v>
      </c>
      <c r="AF32" s="780">
        <v>42671</v>
      </c>
      <c r="AG32" s="266" t="s">
        <v>573</v>
      </c>
      <c r="AH32" s="519">
        <v>3713160037</v>
      </c>
      <c r="AI32" s="262" t="s">
        <v>448</v>
      </c>
      <c r="AJ32" s="263">
        <f>+YEAR(AC32)</f>
        <v>2016</v>
      </c>
      <c r="AO32" s="265"/>
    </row>
    <row r="33" spans="2:41" s="264" customFormat="1" ht="114.75" customHeight="1" thickBot="1" x14ac:dyDescent="0.25">
      <c r="B33" s="255" t="s">
        <v>456</v>
      </c>
      <c r="C33" s="256"/>
      <c r="D33" s="256" t="s">
        <v>111</v>
      </c>
      <c r="E33" s="256" t="s">
        <v>128</v>
      </c>
      <c r="F33" s="551" t="s">
        <v>581</v>
      </c>
      <c r="G33" s="552" t="s">
        <v>582</v>
      </c>
      <c r="H33" s="256" t="s">
        <v>50</v>
      </c>
      <c r="I33" s="256"/>
      <c r="J33" s="481" t="s">
        <v>649</v>
      </c>
      <c r="K33" s="481" t="s">
        <v>68</v>
      </c>
      <c r="L33" s="481" t="s">
        <v>76</v>
      </c>
      <c r="M33" s="553">
        <f>1523127400+2348592795+933462500</f>
        <v>4805182695</v>
      </c>
      <c r="N33" s="786"/>
      <c r="O33" s="481" t="s">
        <v>99</v>
      </c>
      <c r="P33" s="787" t="s">
        <v>79</v>
      </c>
      <c r="Q33" s="484">
        <f t="shared" si="6"/>
        <v>42553</v>
      </c>
      <c r="R33" s="623" t="s">
        <v>122</v>
      </c>
      <c r="S33" s="623" t="s">
        <v>122</v>
      </c>
      <c r="T33" s="623" t="s">
        <v>122</v>
      </c>
      <c r="U33" s="623">
        <f t="shared" si="7"/>
        <v>42561</v>
      </c>
      <c r="V33" s="623">
        <v>42556</v>
      </c>
      <c r="W33" s="623">
        <f t="shared" si="8"/>
        <v>42576</v>
      </c>
      <c r="X33" s="623">
        <v>42572</v>
      </c>
      <c r="Y33" s="623">
        <f t="shared" si="4"/>
        <v>42596</v>
      </c>
      <c r="Z33" s="623">
        <v>42593</v>
      </c>
      <c r="AA33" s="623" t="s">
        <v>122</v>
      </c>
      <c r="AB33" s="623">
        <v>42611</v>
      </c>
      <c r="AC33" s="597">
        <v>42628</v>
      </c>
      <c r="AD33" s="623">
        <v>42585</v>
      </c>
      <c r="AE33" s="623">
        <f>EDATE(AC33,VLOOKUP(G33,POA!$B$71:$C$292,2,FALSE))</f>
        <v>42840</v>
      </c>
      <c r="AF33" s="780">
        <v>42864</v>
      </c>
      <c r="AG33" s="266" t="s">
        <v>651</v>
      </c>
      <c r="AH33" s="519">
        <v>4805182695</v>
      </c>
      <c r="AI33" s="262" t="s">
        <v>448</v>
      </c>
      <c r="AJ33" s="263">
        <f t="shared" si="0"/>
        <v>2016</v>
      </c>
      <c r="AO33" s="265"/>
    </row>
    <row r="34" spans="2:41" s="264" customFormat="1" ht="108.75" customHeight="1" thickBot="1" x14ac:dyDescent="0.25">
      <c r="B34" s="255" t="s">
        <v>456</v>
      </c>
      <c r="C34" s="256"/>
      <c r="D34" s="256" t="s">
        <v>111</v>
      </c>
      <c r="E34" s="256" t="s">
        <v>128</v>
      </c>
      <c r="F34" s="551" t="s">
        <v>574</v>
      </c>
      <c r="G34" s="552" t="s">
        <v>575</v>
      </c>
      <c r="H34" s="256" t="s">
        <v>50</v>
      </c>
      <c r="I34" s="256"/>
      <c r="J34" s="481" t="s">
        <v>650</v>
      </c>
      <c r="K34" s="481" t="s">
        <v>68</v>
      </c>
      <c r="L34" s="481" t="s">
        <v>76</v>
      </c>
      <c r="M34" s="553">
        <v>3345397037</v>
      </c>
      <c r="N34" s="786"/>
      <c r="O34" s="481" t="s">
        <v>99</v>
      </c>
      <c r="P34" s="787" t="s">
        <v>79</v>
      </c>
      <c r="Q34" s="484">
        <f t="shared" si="6"/>
        <v>42583</v>
      </c>
      <c r="R34" s="623" t="s">
        <v>122</v>
      </c>
      <c r="S34" s="623" t="s">
        <v>122</v>
      </c>
      <c r="T34" s="623" t="s">
        <v>122</v>
      </c>
      <c r="U34" s="623">
        <f t="shared" si="7"/>
        <v>42591</v>
      </c>
      <c r="V34" s="623">
        <v>42646</v>
      </c>
      <c r="W34" s="623">
        <f t="shared" si="8"/>
        <v>42606</v>
      </c>
      <c r="X34" s="623">
        <v>42662</v>
      </c>
      <c r="Y34" s="623">
        <f t="shared" si="4"/>
        <v>42626</v>
      </c>
      <c r="Z34" s="623">
        <v>42683</v>
      </c>
      <c r="AA34" s="623" t="s">
        <v>122</v>
      </c>
      <c r="AB34" s="623">
        <v>42696</v>
      </c>
      <c r="AC34" s="597">
        <v>42658</v>
      </c>
      <c r="AD34" s="623">
        <v>42698</v>
      </c>
      <c r="AE34" s="623">
        <f>EDATE(AC34,VLOOKUP(G34,POA!$B$71:$C$292,2,FALSE))</f>
        <v>42840</v>
      </c>
      <c r="AF34" s="780">
        <v>42926</v>
      </c>
      <c r="AG34" s="266" t="s">
        <v>652</v>
      </c>
      <c r="AH34" s="519">
        <v>3345397037</v>
      </c>
      <c r="AI34" s="262" t="s">
        <v>448</v>
      </c>
      <c r="AJ34" s="263">
        <f>+YEAR(AC34)</f>
        <v>2016</v>
      </c>
      <c r="AO34" s="265"/>
    </row>
    <row r="35" spans="2:41" s="264" customFormat="1" ht="66.75" customHeight="1" thickBot="1" x14ac:dyDescent="0.25">
      <c r="B35" s="253" t="s">
        <v>456</v>
      </c>
      <c r="C35" s="254"/>
      <c r="D35" s="254" t="s">
        <v>111</v>
      </c>
      <c r="E35" s="254" t="s">
        <v>128</v>
      </c>
      <c r="F35" s="199" t="s">
        <v>460</v>
      </c>
      <c r="G35" s="252">
        <v>8</v>
      </c>
      <c r="H35" s="254" t="s">
        <v>50</v>
      </c>
      <c r="I35" s="254"/>
      <c r="J35" s="481"/>
      <c r="K35" s="481" t="s">
        <v>68</v>
      </c>
      <c r="L35" s="481" t="s">
        <v>76</v>
      </c>
      <c r="M35" s="633">
        <v>0</v>
      </c>
      <c r="N35" s="254"/>
      <c r="O35" s="254" t="s">
        <v>99</v>
      </c>
      <c r="P35" s="268" t="s">
        <v>79</v>
      </c>
      <c r="Q35" s="259" t="s">
        <v>122</v>
      </c>
      <c r="R35" s="260" t="s">
        <v>122</v>
      </c>
      <c r="S35" s="260" t="s">
        <v>122</v>
      </c>
      <c r="T35" s="260" t="s">
        <v>122</v>
      </c>
      <c r="U35" s="260" t="s">
        <v>122</v>
      </c>
      <c r="V35" s="260" t="s">
        <v>122</v>
      </c>
      <c r="W35" s="260" t="s">
        <v>122</v>
      </c>
      <c r="X35" s="260" t="s">
        <v>122</v>
      </c>
      <c r="Y35" s="260" t="s">
        <v>122</v>
      </c>
      <c r="Z35" s="260" t="s">
        <v>122</v>
      </c>
      <c r="AA35" s="260" t="s">
        <v>122</v>
      </c>
      <c r="AB35" s="260" t="s">
        <v>122</v>
      </c>
      <c r="AC35" s="260" t="s">
        <v>122</v>
      </c>
      <c r="AD35" s="260" t="s">
        <v>122</v>
      </c>
      <c r="AE35" s="260" t="s">
        <v>122</v>
      </c>
      <c r="AF35" s="261" t="s">
        <v>122</v>
      </c>
      <c r="AG35" s="269" t="s">
        <v>122</v>
      </c>
      <c r="AH35" s="254" t="s">
        <v>122</v>
      </c>
      <c r="AI35" s="270" t="s">
        <v>461</v>
      </c>
      <c r="AJ35" s="263"/>
      <c r="AO35" s="265"/>
    </row>
    <row r="36" spans="2:41" s="264" customFormat="1" ht="38.25" customHeight="1" thickBot="1" x14ac:dyDescent="0.25">
      <c r="B36" s="255" t="s">
        <v>456</v>
      </c>
      <c r="C36" s="256"/>
      <c r="D36" s="256" t="s">
        <v>111</v>
      </c>
      <c r="E36" s="256" t="s">
        <v>128</v>
      </c>
      <c r="F36" s="202" t="s">
        <v>423</v>
      </c>
      <c r="G36" s="257">
        <v>15</v>
      </c>
      <c r="H36" s="256" t="s">
        <v>50</v>
      </c>
      <c r="I36" s="256"/>
      <c r="J36" s="481" t="s">
        <v>331</v>
      </c>
      <c r="K36" s="481" t="s">
        <v>68</v>
      </c>
      <c r="L36" s="481" t="s">
        <v>76</v>
      </c>
      <c r="M36" s="763">
        <v>322461955</v>
      </c>
      <c r="N36" s="256"/>
      <c r="O36" s="256" t="s">
        <v>99</v>
      </c>
      <c r="P36" s="258" t="s">
        <v>79</v>
      </c>
      <c r="Q36" s="259" t="s">
        <v>122</v>
      </c>
      <c r="R36" s="260" t="s">
        <v>122</v>
      </c>
      <c r="S36" s="260" t="s">
        <v>122</v>
      </c>
      <c r="T36" s="260" t="s">
        <v>122</v>
      </c>
      <c r="U36" s="260" t="s">
        <v>122</v>
      </c>
      <c r="V36" s="260" t="s">
        <v>122</v>
      </c>
      <c r="W36" s="260" t="s">
        <v>122</v>
      </c>
      <c r="X36" s="260" t="s">
        <v>122</v>
      </c>
      <c r="Y36" s="260" t="s">
        <v>122</v>
      </c>
      <c r="Z36" s="260" t="s">
        <v>122</v>
      </c>
      <c r="AA36" s="260" t="s">
        <v>122</v>
      </c>
      <c r="AB36" s="260" t="s">
        <v>122</v>
      </c>
      <c r="AC36" s="260" t="s">
        <v>122</v>
      </c>
      <c r="AD36" s="260" t="s">
        <v>122</v>
      </c>
      <c r="AE36" s="260" t="s">
        <v>122</v>
      </c>
      <c r="AF36" s="261" t="s">
        <v>122</v>
      </c>
      <c r="AG36" s="266" t="s">
        <v>122</v>
      </c>
      <c r="AH36" s="256" t="s">
        <v>122</v>
      </c>
      <c r="AI36" s="262" t="s">
        <v>462</v>
      </c>
      <c r="AJ36" s="263"/>
      <c r="AO36" s="265"/>
    </row>
    <row r="37" spans="2:41" s="264" customFormat="1" ht="45.75" customHeight="1" thickBot="1" x14ac:dyDescent="0.25">
      <c r="B37" s="253" t="s">
        <v>456</v>
      </c>
      <c r="C37" s="254"/>
      <c r="D37" s="254" t="s">
        <v>111</v>
      </c>
      <c r="E37" s="254" t="s">
        <v>128</v>
      </c>
      <c r="F37" s="764" t="s">
        <v>424</v>
      </c>
      <c r="G37" s="252">
        <v>54</v>
      </c>
      <c r="H37" s="254" t="s">
        <v>50</v>
      </c>
      <c r="I37" s="254"/>
      <c r="J37" s="481" t="s">
        <v>331</v>
      </c>
      <c r="K37" s="481" t="s">
        <v>68</v>
      </c>
      <c r="L37" s="481" t="s">
        <v>76</v>
      </c>
      <c r="M37" s="765">
        <v>527430986</v>
      </c>
      <c r="N37" s="254"/>
      <c r="O37" s="254" t="s">
        <v>99</v>
      </c>
      <c r="P37" s="268" t="s">
        <v>79</v>
      </c>
      <c r="Q37" s="259" t="s">
        <v>122</v>
      </c>
      <c r="R37" s="260" t="s">
        <v>122</v>
      </c>
      <c r="S37" s="260" t="s">
        <v>122</v>
      </c>
      <c r="T37" s="260" t="s">
        <v>122</v>
      </c>
      <c r="U37" s="260" t="s">
        <v>122</v>
      </c>
      <c r="V37" s="260" t="s">
        <v>122</v>
      </c>
      <c r="W37" s="260" t="s">
        <v>122</v>
      </c>
      <c r="X37" s="260" t="s">
        <v>122</v>
      </c>
      <c r="Y37" s="260" t="s">
        <v>122</v>
      </c>
      <c r="Z37" s="260" t="s">
        <v>122</v>
      </c>
      <c r="AA37" s="260" t="s">
        <v>122</v>
      </c>
      <c r="AB37" s="260" t="s">
        <v>122</v>
      </c>
      <c r="AC37" s="260" t="s">
        <v>122</v>
      </c>
      <c r="AD37" s="260" t="s">
        <v>122</v>
      </c>
      <c r="AE37" s="260" t="s">
        <v>122</v>
      </c>
      <c r="AF37" s="261" t="s">
        <v>122</v>
      </c>
      <c r="AG37" s="269" t="s">
        <v>122</v>
      </c>
      <c r="AH37" s="254" t="s">
        <v>122</v>
      </c>
      <c r="AI37" s="262" t="s">
        <v>462</v>
      </c>
      <c r="AJ37" s="263"/>
      <c r="AO37" s="265"/>
    </row>
    <row r="38" spans="2:41" s="264" customFormat="1" ht="54.75" customHeight="1" thickBot="1" x14ac:dyDescent="0.25">
      <c r="B38" s="255" t="s">
        <v>456</v>
      </c>
      <c r="C38" s="256"/>
      <c r="D38" s="256" t="s">
        <v>111</v>
      </c>
      <c r="E38" s="256" t="s">
        <v>128</v>
      </c>
      <c r="F38" s="202" t="s">
        <v>425</v>
      </c>
      <c r="G38" s="257">
        <v>120</v>
      </c>
      <c r="H38" s="256" t="s">
        <v>50</v>
      </c>
      <c r="I38" s="256"/>
      <c r="J38" s="481" t="s">
        <v>331</v>
      </c>
      <c r="K38" s="481" t="s">
        <v>68</v>
      </c>
      <c r="L38" s="481" t="s">
        <v>76</v>
      </c>
      <c r="M38" s="763">
        <v>946868429</v>
      </c>
      <c r="N38" s="256"/>
      <c r="O38" s="256" t="s">
        <v>99</v>
      </c>
      <c r="P38" s="258" t="s">
        <v>79</v>
      </c>
      <c r="Q38" s="259" t="s">
        <v>122</v>
      </c>
      <c r="R38" s="260" t="s">
        <v>122</v>
      </c>
      <c r="S38" s="260" t="s">
        <v>122</v>
      </c>
      <c r="T38" s="260" t="s">
        <v>122</v>
      </c>
      <c r="U38" s="260" t="s">
        <v>122</v>
      </c>
      <c r="V38" s="260" t="s">
        <v>122</v>
      </c>
      <c r="W38" s="260" t="s">
        <v>122</v>
      </c>
      <c r="X38" s="260" t="s">
        <v>122</v>
      </c>
      <c r="Y38" s="260" t="s">
        <v>122</v>
      </c>
      <c r="Z38" s="260" t="s">
        <v>122</v>
      </c>
      <c r="AA38" s="260" t="s">
        <v>122</v>
      </c>
      <c r="AB38" s="260" t="s">
        <v>122</v>
      </c>
      <c r="AC38" s="260" t="s">
        <v>122</v>
      </c>
      <c r="AD38" s="260" t="s">
        <v>122</v>
      </c>
      <c r="AE38" s="260" t="s">
        <v>122</v>
      </c>
      <c r="AF38" s="261" t="s">
        <v>122</v>
      </c>
      <c r="AG38" s="266" t="s">
        <v>122</v>
      </c>
      <c r="AH38" s="256" t="s">
        <v>122</v>
      </c>
      <c r="AI38" s="262" t="s">
        <v>462</v>
      </c>
      <c r="AJ38" s="263"/>
      <c r="AO38" s="265"/>
    </row>
    <row r="39" spans="2:41" s="264" customFormat="1" ht="36.75" customHeight="1" thickBot="1" x14ac:dyDescent="0.25">
      <c r="B39" s="253" t="s">
        <v>456</v>
      </c>
      <c r="C39" s="254"/>
      <c r="D39" s="254" t="s">
        <v>111</v>
      </c>
      <c r="E39" s="254" t="s">
        <v>128</v>
      </c>
      <c r="F39" s="764" t="s">
        <v>426</v>
      </c>
      <c r="G39" s="252">
        <v>106</v>
      </c>
      <c r="H39" s="254" t="s">
        <v>50</v>
      </c>
      <c r="I39" s="254"/>
      <c r="J39" s="481" t="s">
        <v>331</v>
      </c>
      <c r="K39" s="481" t="s">
        <v>68</v>
      </c>
      <c r="L39" s="481" t="s">
        <v>76</v>
      </c>
      <c r="M39" s="765">
        <v>742463190</v>
      </c>
      <c r="N39" s="254"/>
      <c r="O39" s="254" t="s">
        <v>99</v>
      </c>
      <c r="P39" s="268" t="s">
        <v>79</v>
      </c>
      <c r="Q39" s="259" t="s">
        <v>122</v>
      </c>
      <c r="R39" s="260" t="s">
        <v>122</v>
      </c>
      <c r="S39" s="260" t="s">
        <v>122</v>
      </c>
      <c r="T39" s="260" t="s">
        <v>122</v>
      </c>
      <c r="U39" s="260" t="s">
        <v>122</v>
      </c>
      <c r="V39" s="260" t="s">
        <v>122</v>
      </c>
      <c r="W39" s="260" t="s">
        <v>122</v>
      </c>
      <c r="X39" s="260" t="s">
        <v>122</v>
      </c>
      <c r="Y39" s="260" t="s">
        <v>122</v>
      </c>
      <c r="Z39" s="260" t="s">
        <v>122</v>
      </c>
      <c r="AA39" s="260" t="s">
        <v>122</v>
      </c>
      <c r="AB39" s="260" t="s">
        <v>122</v>
      </c>
      <c r="AC39" s="260" t="s">
        <v>122</v>
      </c>
      <c r="AD39" s="260" t="s">
        <v>122</v>
      </c>
      <c r="AE39" s="260" t="s">
        <v>122</v>
      </c>
      <c r="AF39" s="261" t="s">
        <v>122</v>
      </c>
      <c r="AG39" s="269" t="s">
        <v>122</v>
      </c>
      <c r="AH39" s="254" t="s">
        <v>122</v>
      </c>
      <c r="AI39" s="262" t="s">
        <v>462</v>
      </c>
      <c r="AJ39" s="263"/>
      <c r="AO39" s="265"/>
    </row>
    <row r="40" spans="2:41" s="264" customFormat="1" ht="60" customHeight="1" thickBot="1" x14ac:dyDescent="0.25">
      <c r="B40" s="255" t="s">
        <v>456</v>
      </c>
      <c r="C40" s="256"/>
      <c r="D40" s="256" t="s">
        <v>111</v>
      </c>
      <c r="E40" s="256" t="s">
        <v>128</v>
      </c>
      <c r="F40" s="191" t="s">
        <v>463</v>
      </c>
      <c r="G40" s="257" t="s">
        <v>168</v>
      </c>
      <c r="H40" s="256" t="s">
        <v>50</v>
      </c>
      <c r="I40" s="256"/>
      <c r="J40" s="481" t="s">
        <v>332</v>
      </c>
      <c r="K40" s="481" t="s">
        <v>68</v>
      </c>
      <c r="L40" s="481" t="s">
        <v>76</v>
      </c>
      <c r="M40" s="251">
        <v>0</v>
      </c>
      <c r="N40" s="256"/>
      <c r="O40" s="256" t="s">
        <v>99</v>
      </c>
      <c r="P40" s="258" t="s">
        <v>79</v>
      </c>
      <c r="Q40" s="259" t="s">
        <v>122</v>
      </c>
      <c r="R40" s="260" t="s">
        <v>122</v>
      </c>
      <c r="S40" s="260" t="s">
        <v>122</v>
      </c>
      <c r="T40" s="260" t="s">
        <v>122</v>
      </c>
      <c r="U40" s="260" t="s">
        <v>122</v>
      </c>
      <c r="V40" s="260" t="s">
        <v>122</v>
      </c>
      <c r="W40" s="260" t="s">
        <v>122</v>
      </c>
      <c r="X40" s="260" t="s">
        <v>122</v>
      </c>
      <c r="Y40" s="260" t="s">
        <v>122</v>
      </c>
      <c r="Z40" s="260" t="s">
        <v>122</v>
      </c>
      <c r="AA40" s="260" t="s">
        <v>122</v>
      </c>
      <c r="AB40" s="260" t="s">
        <v>122</v>
      </c>
      <c r="AC40" s="260" t="s">
        <v>122</v>
      </c>
      <c r="AD40" s="260" t="s">
        <v>122</v>
      </c>
      <c r="AE40" s="260" t="s">
        <v>122</v>
      </c>
      <c r="AF40" s="261" t="s">
        <v>122</v>
      </c>
      <c r="AG40" s="266" t="s">
        <v>122</v>
      </c>
      <c r="AH40" s="256" t="s">
        <v>122</v>
      </c>
      <c r="AI40" s="262" t="s">
        <v>462</v>
      </c>
      <c r="AJ40" s="263"/>
      <c r="AO40" s="265"/>
    </row>
    <row r="41" spans="2:41" s="264" customFormat="1" ht="39" customHeight="1" thickBot="1" x14ac:dyDescent="0.25">
      <c r="B41" s="255" t="s">
        <v>456</v>
      </c>
      <c r="C41" s="256"/>
      <c r="D41" s="256" t="s">
        <v>111</v>
      </c>
      <c r="E41" s="256" t="s">
        <v>128</v>
      </c>
      <c r="F41" s="202" t="s">
        <v>427</v>
      </c>
      <c r="G41" s="490">
        <v>119</v>
      </c>
      <c r="H41" s="256" t="s">
        <v>50</v>
      </c>
      <c r="I41" s="256"/>
      <c r="J41" s="481" t="s">
        <v>331</v>
      </c>
      <c r="K41" s="481" t="s">
        <v>68</v>
      </c>
      <c r="L41" s="481" t="s">
        <v>76</v>
      </c>
      <c r="M41" s="763">
        <v>5716957088</v>
      </c>
      <c r="N41" s="256"/>
      <c r="O41" s="256" t="s">
        <v>99</v>
      </c>
      <c r="P41" s="258" t="s">
        <v>79</v>
      </c>
      <c r="Q41" s="259" t="s">
        <v>122</v>
      </c>
      <c r="R41" s="260" t="s">
        <v>122</v>
      </c>
      <c r="S41" s="260" t="s">
        <v>122</v>
      </c>
      <c r="T41" s="260" t="s">
        <v>122</v>
      </c>
      <c r="U41" s="260" t="s">
        <v>122</v>
      </c>
      <c r="V41" s="260" t="s">
        <v>122</v>
      </c>
      <c r="W41" s="260" t="s">
        <v>122</v>
      </c>
      <c r="X41" s="260" t="s">
        <v>122</v>
      </c>
      <c r="Y41" s="260" t="s">
        <v>122</v>
      </c>
      <c r="Z41" s="260" t="s">
        <v>122</v>
      </c>
      <c r="AA41" s="260" t="s">
        <v>122</v>
      </c>
      <c r="AB41" s="260" t="s">
        <v>122</v>
      </c>
      <c r="AC41" s="260" t="s">
        <v>122</v>
      </c>
      <c r="AD41" s="260" t="s">
        <v>122</v>
      </c>
      <c r="AE41" s="260" t="s">
        <v>122</v>
      </c>
      <c r="AF41" s="261" t="s">
        <v>122</v>
      </c>
      <c r="AG41" s="266" t="s">
        <v>122</v>
      </c>
      <c r="AH41" s="256" t="s">
        <v>122</v>
      </c>
      <c r="AI41" s="262" t="s">
        <v>462</v>
      </c>
      <c r="AJ41" s="263"/>
      <c r="AO41" s="265"/>
    </row>
    <row r="42" spans="2:41" s="264" customFormat="1" ht="55.5" customHeight="1" thickBot="1" x14ac:dyDescent="0.25">
      <c r="B42" s="255" t="s">
        <v>456</v>
      </c>
      <c r="C42" s="256"/>
      <c r="D42" s="256" t="s">
        <v>111</v>
      </c>
      <c r="E42" s="256" t="s">
        <v>128</v>
      </c>
      <c r="F42" s="202" t="s">
        <v>428</v>
      </c>
      <c r="G42" s="490" t="s">
        <v>333</v>
      </c>
      <c r="H42" s="256" t="s">
        <v>50</v>
      </c>
      <c r="I42" s="256"/>
      <c r="J42" s="481" t="s">
        <v>334</v>
      </c>
      <c r="K42" s="481" t="s">
        <v>68</v>
      </c>
      <c r="L42" s="481" t="s">
        <v>76</v>
      </c>
      <c r="M42" s="763">
        <v>4813231934</v>
      </c>
      <c r="N42" s="251"/>
      <c r="O42" s="256" t="s">
        <v>99</v>
      </c>
      <c r="P42" s="258" t="s">
        <v>79</v>
      </c>
      <c r="Q42" s="259" t="s">
        <v>122</v>
      </c>
      <c r="R42" s="260" t="s">
        <v>122</v>
      </c>
      <c r="S42" s="260" t="s">
        <v>122</v>
      </c>
      <c r="T42" s="260" t="s">
        <v>122</v>
      </c>
      <c r="U42" s="260" t="s">
        <v>122</v>
      </c>
      <c r="V42" s="260" t="s">
        <v>122</v>
      </c>
      <c r="W42" s="260" t="s">
        <v>122</v>
      </c>
      <c r="X42" s="260" t="s">
        <v>122</v>
      </c>
      <c r="Y42" s="260" t="s">
        <v>122</v>
      </c>
      <c r="Z42" s="260" t="s">
        <v>122</v>
      </c>
      <c r="AA42" s="260" t="s">
        <v>122</v>
      </c>
      <c r="AB42" s="260" t="s">
        <v>122</v>
      </c>
      <c r="AC42" s="260" t="s">
        <v>122</v>
      </c>
      <c r="AD42" s="260" t="s">
        <v>122</v>
      </c>
      <c r="AE42" s="260" t="s">
        <v>122</v>
      </c>
      <c r="AF42" s="261" t="s">
        <v>122</v>
      </c>
      <c r="AG42" s="266" t="s">
        <v>122</v>
      </c>
      <c r="AH42" s="256" t="s">
        <v>122</v>
      </c>
      <c r="AI42" s="262" t="s">
        <v>462</v>
      </c>
      <c r="AJ42" s="263"/>
      <c r="AO42" s="265"/>
    </row>
    <row r="43" spans="2:41" ht="12" customHeight="1" thickBot="1" x14ac:dyDescent="0.25">
      <c r="B43" s="214"/>
      <c r="C43" s="206"/>
      <c r="D43" s="206"/>
      <c r="E43" s="206"/>
      <c r="F43" s="207"/>
      <c r="G43" s="208"/>
      <c r="H43" s="206"/>
      <c r="I43" s="206"/>
      <c r="J43" s="206"/>
      <c r="K43" s="206"/>
      <c r="L43" s="774"/>
      <c r="M43" s="209"/>
      <c r="N43" s="206"/>
      <c r="O43" s="206"/>
      <c r="P43" s="210"/>
      <c r="Q43" s="242"/>
      <c r="R43" s="211"/>
      <c r="S43" s="211"/>
      <c r="T43" s="211"/>
      <c r="U43" s="243"/>
      <c r="V43" s="211"/>
      <c r="W43" s="243"/>
      <c r="X43" s="211"/>
      <c r="Y43" s="243"/>
      <c r="Z43" s="211"/>
      <c r="AA43" s="211"/>
      <c r="AB43" s="211"/>
      <c r="AC43" s="211"/>
      <c r="AD43" s="211"/>
      <c r="AE43" s="211"/>
      <c r="AF43" s="212"/>
      <c r="AG43" s="213"/>
      <c r="AH43" s="206"/>
      <c r="AI43" s="215"/>
      <c r="AO43" s="2"/>
    </row>
    <row r="44" spans="2:41" s="264" customFormat="1" ht="48" customHeight="1" thickBot="1" x14ac:dyDescent="0.25">
      <c r="B44" s="255" t="s">
        <v>456</v>
      </c>
      <c r="C44" s="256"/>
      <c r="D44" s="256" t="s">
        <v>111</v>
      </c>
      <c r="E44" s="256" t="s">
        <v>128</v>
      </c>
      <c r="F44" s="684" t="s">
        <v>687</v>
      </c>
      <c r="G44" s="257" t="s">
        <v>353</v>
      </c>
      <c r="H44" s="256" t="s">
        <v>50</v>
      </c>
      <c r="I44" s="256"/>
      <c r="J44" s="481" t="s">
        <v>122</v>
      </c>
      <c r="K44" s="256" t="s">
        <v>68</v>
      </c>
      <c r="L44" s="481" t="s">
        <v>76</v>
      </c>
      <c r="M44" s="681">
        <v>4000000000</v>
      </c>
      <c r="N44" s="256"/>
      <c r="O44" s="256" t="s">
        <v>99</v>
      </c>
      <c r="P44" s="258" t="s">
        <v>79</v>
      </c>
      <c r="Q44" s="484">
        <f t="shared" ref="Q44:Q48" si="9">+AC44-75</f>
        <v>43283</v>
      </c>
      <c r="R44" s="623" t="s">
        <v>122</v>
      </c>
      <c r="S44" s="623" t="s">
        <v>122</v>
      </c>
      <c r="T44" s="623" t="s">
        <v>122</v>
      </c>
      <c r="U44" s="484">
        <f t="shared" ref="U44:U48" si="10">+Q44+8</f>
        <v>43291</v>
      </c>
      <c r="V44" s="623" t="s">
        <v>122</v>
      </c>
      <c r="W44" s="484">
        <f t="shared" ref="W44:W48" si="11">+U44+15</f>
        <v>43306</v>
      </c>
      <c r="X44" s="623" t="s">
        <v>122</v>
      </c>
      <c r="Y44" s="484">
        <f t="shared" ref="Y44:Y48" si="12">+W44+20</f>
        <v>43326</v>
      </c>
      <c r="Z44" s="623" t="s">
        <v>122</v>
      </c>
      <c r="AA44" s="623" t="s">
        <v>122</v>
      </c>
      <c r="AB44" s="623" t="s">
        <v>122</v>
      </c>
      <c r="AC44" s="779">
        <v>43358</v>
      </c>
      <c r="AD44" s="623" t="s">
        <v>122</v>
      </c>
      <c r="AE44" s="623">
        <f>EDATE(AC44,VLOOKUP(G44,POA!$B$71:$C$292,2,FALSE))</f>
        <v>43539</v>
      </c>
      <c r="AF44" s="780" t="s">
        <v>122</v>
      </c>
      <c r="AG44" s="266" t="s">
        <v>122</v>
      </c>
      <c r="AH44" s="256" t="s">
        <v>122</v>
      </c>
      <c r="AI44" s="262" t="s">
        <v>657</v>
      </c>
      <c r="AJ44" s="263">
        <f t="shared" ref="AJ44:AJ50" si="13">+YEAR(AC44)</f>
        <v>2018</v>
      </c>
      <c r="AO44" s="265"/>
    </row>
    <row r="45" spans="2:41" s="264" customFormat="1" ht="20.100000000000001" customHeight="1" thickBot="1" x14ac:dyDescent="0.25">
      <c r="B45" s="253" t="s">
        <v>456</v>
      </c>
      <c r="C45" s="254"/>
      <c r="D45" s="254" t="s">
        <v>111</v>
      </c>
      <c r="E45" s="254" t="s">
        <v>128</v>
      </c>
      <c r="F45" s="495" t="s">
        <v>438</v>
      </c>
      <c r="G45" s="252" t="s">
        <v>183</v>
      </c>
      <c r="H45" s="254" t="s">
        <v>50</v>
      </c>
      <c r="I45" s="254"/>
      <c r="J45" s="785" t="s">
        <v>122</v>
      </c>
      <c r="K45" s="785" t="s">
        <v>68</v>
      </c>
      <c r="L45" s="785" t="s">
        <v>76</v>
      </c>
      <c r="M45" s="680">
        <v>0</v>
      </c>
      <c r="N45" s="254"/>
      <c r="O45" s="254" t="s">
        <v>99</v>
      </c>
      <c r="P45" s="268" t="s">
        <v>79</v>
      </c>
      <c r="Q45" s="484" t="s">
        <v>122</v>
      </c>
      <c r="R45" s="623" t="s">
        <v>122</v>
      </c>
      <c r="S45" s="623" t="s">
        <v>122</v>
      </c>
      <c r="T45" s="623" t="s">
        <v>122</v>
      </c>
      <c r="U45" s="484" t="s">
        <v>122</v>
      </c>
      <c r="V45" s="623" t="s">
        <v>122</v>
      </c>
      <c r="W45" s="484" t="s">
        <v>122</v>
      </c>
      <c r="X45" s="623" t="s">
        <v>122</v>
      </c>
      <c r="Y45" s="484" t="s">
        <v>122</v>
      </c>
      <c r="Z45" s="623" t="s">
        <v>122</v>
      </c>
      <c r="AA45" s="623" t="s">
        <v>122</v>
      </c>
      <c r="AB45" s="623" t="s">
        <v>122</v>
      </c>
      <c r="AC45" s="623" t="s">
        <v>122</v>
      </c>
      <c r="AD45" s="623" t="s">
        <v>122</v>
      </c>
      <c r="AE45" s="623" t="s">
        <v>122</v>
      </c>
      <c r="AF45" s="780" t="s">
        <v>122</v>
      </c>
      <c r="AG45" s="266" t="s">
        <v>122</v>
      </c>
      <c r="AH45" s="256" t="s">
        <v>122</v>
      </c>
      <c r="AI45" s="270" t="s">
        <v>122</v>
      </c>
      <c r="AJ45" s="263"/>
      <c r="AO45" s="265"/>
    </row>
    <row r="46" spans="2:41" s="264" customFormat="1" ht="38.25" customHeight="1" thickBot="1" x14ac:dyDescent="0.25">
      <c r="B46" s="255" t="s">
        <v>456</v>
      </c>
      <c r="C46" s="256"/>
      <c r="D46" s="256" t="s">
        <v>111</v>
      </c>
      <c r="E46" s="256" t="s">
        <v>128</v>
      </c>
      <c r="F46" s="684" t="s">
        <v>688</v>
      </c>
      <c r="G46" s="257" t="s">
        <v>184</v>
      </c>
      <c r="H46" s="256" t="s">
        <v>50</v>
      </c>
      <c r="I46" s="256"/>
      <c r="J46" s="481" t="s">
        <v>122</v>
      </c>
      <c r="K46" s="256" t="s">
        <v>68</v>
      </c>
      <c r="L46" s="481" t="s">
        <v>76</v>
      </c>
      <c r="M46" s="682">
        <v>745436774</v>
      </c>
      <c r="N46" s="256"/>
      <c r="O46" s="256" t="s">
        <v>99</v>
      </c>
      <c r="P46" s="258" t="s">
        <v>79</v>
      </c>
      <c r="Q46" s="484">
        <f t="shared" si="9"/>
        <v>43288</v>
      </c>
      <c r="R46" s="623" t="s">
        <v>122</v>
      </c>
      <c r="S46" s="623" t="s">
        <v>122</v>
      </c>
      <c r="T46" s="623" t="s">
        <v>122</v>
      </c>
      <c r="U46" s="484">
        <f t="shared" si="10"/>
        <v>43296</v>
      </c>
      <c r="V46" s="623" t="s">
        <v>122</v>
      </c>
      <c r="W46" s="484">
        <f t="shared" si="11"/>
        <v>43311</v>
      </c>
      <c r="X46" s="623" t="s">
        <v>122</v>
      </c>
      <c r="Y46" s="484">
        <f t="shared" si="12"/>
        <v>43331</v>
      </c>
      <c r="Z46" s="623" t="s">
        <v>122</v>
      </c>
      <c r="AA46" s="623" t="s">
        <v>122</v>
      </c>
      <c r="AB46" s="623" t="s">
        <v>122</v>
      </c>
      <c r="AC46" s="779">
        <v>43363</v>
      </c>
      <c r="AD46" s="623" t="s">
        <v>122</v>
      </c>
      <c r="AE46" s="623">
        <f>EDATE(AC46,VLOOKUP(G46,POA!$B$71:$C$292,2,FALSE))</f>
        <v>43605</v>
      </c>
      <c r="AF46" s="780" t="s">
        <v>122</v>
      </c>
      <c r="AG46" s="266" t="s">
        <v>122</v>
      </c>
      <c r="AH46" s="256" t="s">
        <v>122</v>
      </c>
      <c r="AI46" s="262" t="s">
        <v>657</v>
      </c>
      <c r="AJ46" s="263">
        <f t="shared" si="13"/>
        <v>2018</v>
      </c>
      <c r="AO46" s="265"/>
    </row>
    <row r="47" spans="2:41" s="264" customFormat="1" ht="20.100000000000001" customHeight="1" thickBot="1" x14ac:dyDescent="0.25">
      <c r="B47" s="253" t="s">
        <v>456</v>
      </c>
      <c r="C47" s="254"/>
      <c r="D47" s="254" t="s">
        <v>111</v>
      </c>
      <c r="E47" s="268" t="s">
        <v>128</v>
      </c>
      <c r="F47" s="679" t="s">
        <v>439</v>
      </c>
      <c r="G47" s="257" t="s">
        <v>185</v>
      </c>
      <c r="H47" s="256" t="s">
        <v>50</v>
      </c>
      <c r="I47" s="256"/>
      <c r="J47" s="785" t="s">
        <v>122</v>
      </c>
      <c r="K47" s="785" t="s">
        <v>68</v>
      </c>
      <c r="L47" s="785" t="s">
        <v>76</v>
      </c>
      <c r="M47" s="680">
        <v>0</v>
      </c>
      <c r="N47" s="256"/>
      <c r="O47" s="256" t="s">
        <v>99</v>
      </c>
      <c r="P47" s="258" t="s">
        <v>79</v>
      </c>
      <c r="Q47" s="484" t="s">
        <v>122</v>
      </c>
      <c r="R47" s="623" t="s">
        <v>122</v>
      </c>
      <c r="S47" s="623" t="s">
        <v>122</v>
      </c>
      <c r="T47" s="623" t="s">
        <v>122</v>
      </c>
      <c r="U47" s="484" t="s">
        <v>122</v>
      </c>
      <c r="V47" s="623" t="s">
        <v>122</v>
      </c>
      <c r="W47" s="484" t="s">
        <v>122</v>
      </c>
      <c r="X47" s="623" t="s">
        <v>122</v>
      </c>
      <c r="Y47" s="484" t="s">
        <v>122</v>
      </c>
      <c r="Z47" s="623" t="s">
        <v>122</v>
      </c>
      <c r="AA47" s="623" t="s">
        <v>122</v>
      </c>
      <c r="AB47" s="623" t="s">
        <v>122</v>
      </c>
      <c r="AC47" s="623" t="s">
        <v>122</v>
      </c>
      <c r="AD47" s="623" t="s">
        <v>122</v>
      </c>
      <c r="AE47" s="623" t="s">
        <v>122</v>
      </c>
      <c r="AF47" s="780" t="s">
        <v>122</v>
      </c>
      <c r="AG47" s="266" t="s">
        <v>122</v>
      </c>
      <c r="AH47" s="256" t="s">
        <v>122</v>
      </c>
      <c r="AI47" s="262" t="s">
        <v>122</v>
      </c>
      <c r="AJ47" s="263"/>
      <c r="AO47" s="265"/>
    </row>
    <row r="48" spans="2:41" s="264" customFormat="1" ht="20.100000000000001" customHeight="1" thickBot="1" x14ac:dyDescent="0.25">
      <c r="B48" s="253" t="s">
        <v>456</v>
      </c>
      <c r="C48" s="254"/>
      <c r="D48" s="254" t="s">
        <v>111</v>
      </c>
      <c r="E48" s="254" t="s">
        <v>128</v>
      </c>
      <c r="F48" s="199" t="s">
        <v>440</v>
      </c>
      <c r="G48" s="252" t="s">
        <v>187</v>
      </c>
      <c r="H48" s="254" t="s">
        <v>50</v>
      </c>
      <c r="I48" s="254"/>
      <c r="J48" s="481" t="s">
        <v>122</v>
      </c>
      <c r="K48" s="254" t="s">
        <v>68</v>
      </c>
      <c r="L48" s="773" t="s">
        <v>76</v>
      </c>
      <c r="M48" s="682">
        <f>2554563226+18300000</f>
        <v>2572863226</v>
      </c>
      <c r="N48" s="254"/>
      <c r="O48" s="254" t="s">
        <v>99</v>
      </c>
      <c r="P48" s="268" t="s">
        <v>79</v>
      </c>
      <c r="Q48" s="484">
        <f t="shared" si="9"/>
        <v>43369</v>
      </c>
      <c r="R48" s="623" t="s">
        <v>122</v>
      </c>
      <c r="S48" s="623" t="s">
        <v>122</v>
      </c>
      <c r="T48" s="623" t="s">
        <v>122</v>
      </c>
      <c r="U48" s="484">
        <f t="shared" si="10"/>
        <v>43377</v>
      </c>
      <c r="V48" s="623" t="s">
        <v>122</v>
      </c>
      <c r="W48" s="484">
        <f t="shared" si="11"/>
        <v>43392</v>
      </c>
      <c r="X48" s="623" t="s">
        <v>122</v>
      </c>
      <c r="Y48" s="484">
        <f t="shared" si="12"/>
        <v>43412</v>
      </c>
      <c r="Z48" s="623" t="s">
        <v>122</v>
      </c>
      <c r="AA48" s="623" t="s">
        <v>122</v>
      </c>
      <c r="AB48" s="623" t="s">
        <v>122</v>
      </c>
      <c r="AC48" s="781">
        <v>43444</v>
      </c>
      <c r="AD48" s="776" t="s">
        <v>122</v>
      </c>
      <c r="AE48" s="777">
        <f>EDATE(AC48,VLOOKUP(G48,POA!$B$71:$C$292,2,FALSE))</f>
        <v>43687</v>
      </c>
      <c r="AF48" s="782" t="s">
        <v>122</v>
      </c>
      <c r="AG48" s="269" t="s">
        <v>122</v>
      </c>
      <c r="AH48" s="254" t="s">
        <v>122</v>
      </c>
      <c r="AI48" s="270" t="s">
        <v>658</v>
      </c>
      <c r="AJ48" s="263">
        <f t="shared" si="13"/>
        <v>2018</v>
      </c>
      <c r="AO48" s="265"/>
    </row>
    <row r="49" spans="2:41" s="264" customFormat="1" ht="20.100000000000001" customHeight="1" thickBot="1" x14ac:dyDescent="0.25">
      <c r="B49" s="255" t="s">
        <v>456</v>
      </c>
      <c r="C49" s="256"/>
      <c r="D49" s="256" t="s">
        <v>111</v>
      </c>
      <c r="E49" s="256" t="s">
        <v>128</v>
      </c>
      <c r="F49" s="191" t="s">
        <v>441</v>
      </c>
      <c r="G49" s="257" t="s">
        <v>188</v>
      </c>
      <c r="H49" s="256" t="s">
        <v>50</v>
      </c>
      <c r="I49" s="256"/>
      <c r="J49" s="785" t="s">
        <v>122</v>
      </c>
      <c r="K49" s="785" t="s">
        <v>68</v>
      </c>
      <c r="L49" s="785" t="s">
        <v>76</v>
      </c>
      <c r="M49" s="680">
        <v>0</v>
      </c>
      <c r="N49" s="256"/>
      <c r="O49" s="256" t="s">
        <v>99</v>
      </c>
      <c r="P49" s="258" t="s">
        <v>79</v>
      </c>
      <c r="Q49" s="484" t="s">
        <v>122</v>
      </c>
      <c r="R49" s="623" t="s">
        <v>122</v>
      </c>
      <c r="S49" s="623" t="s">
        <v>122</v>
      </c>
      <c r="T49" s="623" t="s">
        <v>122</v>
      </c>
      <c r="U49" s="484" t="s">
        <v>122</v>
      </c>
      <c r="V49" s="623" t="s">
        <v>122</v>
      </c>
      <c r="W49" s="484" t="s">
        <v>122</v>
      </c>
      <c r="X49" s="623" t="s">
        <v>122</v>
      </c>
      <c r="Y49" s="484" t="s">
        <v>122</v>
      </c>
      <c r="Z49" s="623" t="s">
        <v>122</v>
      </c>
      <c r="AA49" s="623" t="s">
        <v>122</v>
      </c>
      <c r="AB49" s="623" t="s">
        <v>122</v>
      </c>
      <c r="AC49" s="623" t="s">
        <v>122</v>
      </c>
      <c r="AD49" s="623" t="s">
        <v>122</v>
      </c>
      <c r="AE49" s="623" t="s">
        <v>122</v>
      </c>
      <c r="AF49" s="780" t="s">
        <v>122</v>
      </c>
      <c r="AG49" s="266" t="s">
        <v>122</v>
      </c>
      <c r="AH49" s="256" t="s">
        <v>122</v>
      </c>
      <c r="AI49" s="262" t="s">
        <v>122</v>
      </c>
      <c r="AJ49" s="263"/>
      <c r="AO49" s="265"/>
    </row>
    <row r="50" spans="2:41" s="264" customFormat="1" ht="20.100000000000001" customHeight="1" thickBot="1" x14ac:dyDescent="0.25">
      <c r="B50" s="253" t="s">
        <v>456</v>
      </c>
      <c r="C50" s="254"/>
      <c r="D50" s="254" t="s">
        <v>111</v>
      </c>
      <c r="E50" s="254" t="s">
        <v>128</v>
      </c>
      <c r="F50" s="199" t="s">
        <v>147</v>
      </c>
      <c r="G50" s="252" t="s">
        <v>191</v>
      </c>
      <c r="H50" s="254" t="s">
        <v>50</v>
      </c>
      <c r="I50" s="254"/>
      <c r="J50" s="481" t="s">
        <v>122</v>
      </c>
      <c r="K50" s="254" t="s">
        <v>68</v>
      </c>
      <c r="L50" s="773" t="s">
        <v>76</v>
      </c>
      <c r="M50" s="681">
        <v>12000000000</v>
      </c>
      <c r="N50" s="254">
        <v>0</v>
      </c>
      <c r="O50" s="254" t="s">
        <v>99</v>
      </c>
      <c r="P50" s="268" t="s">
        <v>79</v>
      </c>
      <c r="Q50" s="484">
        <f>+AC50-75</f>
        <v>43374</v>
      </c>
      <c r="R50" s="623" t="s">
        <v>122</v>
      </c>
      <c r="S50" s="623" t="s">
        <v>122</v>
      </c>
      <c r="T50" s="623" t="s">
        <v>122</v>
      </c>
      <c r="U50" s="484">
        <f>+Q50+8</f>
        <v>43382</v>
      </c>
      <c r="V50" s="623" t="s">
        <v>122</v>
      </c>
      <c r="W50" s="484">
        <f>+U50+15</f>
        <v>43397</v>
      </c>
      <c r="X50" s="623" t="s">
        <v>122</v>
      </c>
      <c r="Y50" s="484">
        <f>+W50+20</f>
        <v>43417</v>
      </c>
      <c r="Z50" s="623" t="s">
        <v>122</v>
      </c>
      <c r="AA50" s="623" t="s">
        <v>122</v>
      </c>
      <c r="AB50" s="623" t="s">
        <v>122</v>
      </c>
      <c r="AC50" s="781">
        <v>43449</v>
      </c>
      <c r="AD50" s="776" t="s">
        <v>122</v>
      </c>
      <c r="AE50" s="623">
        <f>EDATE(AC50,VLOOKUP(G50,POA!$B$71:$C$292,2,FALSE))</f>
        <v>43631</v>
      </c>
      <c r="AF50" s="782" t="s">
        <v>122</v>
      </c>
      <c r="AG50" s="269" t="s">
        <v>122</v>
      </c>
      <c r="AH50" s="254" t="s">
        <v>122</v>
      </c>
      <c r="AI50" s="270" t="s">
        <v>122</v>
      </c>
      <c r="AJ50" s="263">
        <f t="shared" si="13"/>
        <v>2018</v>
      </c>
      <c r="AO50" s="265"/>
    </row>
    <row r="51" spans="2:41" s="264" customFormat="1" ht="20.100000000000001" customHeight="1" thickBot="1" x14ac:dyDescent="0.25">
      <c r="B51" s="255" t="s">
        <v>456</v>
      </c>
      <c r="C51" s="256"/>
      <c r="D51" s="256" t="s">
        <v>111</v>
      </c>
      <c r="E51" s="256" t="s">
        <v>128</v>
      </c>
      <c r="F51" s="191" t="s">
        <v>148</v>
      </c>
      <c r="G51" s="257" t="s">
        <v>192</v>
      </c>
      <c r="H51" s="256" t="s">
        <v>50</v>
      </c>
      <c r="I51" s="256"/>
      <c r="J51" s="771" t="s">
        <v>122</v>
      </c>
      <c r="K51" s="771" t="s">
        <v>68</v>
      </c>
      <c r="L51" s="771" t="s">
        <v>76</v>
      </c>
      <c r="M51" s="251">
        <v>0</v>
      </c>
      <c r="N51" s="256"/>
      <c r="O51" s="256" t="s">
        <v>99</v>
      </c>
      <c r="P51" s="258" t="s">
        <v>79</v>
      </c>
      <c r="Q51" s="484" t="s">
        <v>122</v>
      </c>
      <c r="R51" s="623" t="s">
        <v>122</v>
      </c>
      <c r="S51" s="623" t="s">
        <v>122</v>
      </c>
      <c r="T51" s="623" t="s">
        <v>122</v>
      </c>
      <c r="U51" s="484" t="s">
        <v>122</v>
      </c>
      <c r="V51" s="623" t="s">
        <v>122</v>
      </c>
      <c r="W51" s="484" t="s">
        <v>122</v>
      </c>
      <c r="X51" s="623" t="s">
        <v>122</v>
      </c>
      <c r="Y51" s="484" t="s">
        <v>122</v>
      </c>
      <c r="Z51" s="623" t="s">
        <v>122</v>
      </c>
      <c r="AA51" s="623" t="s">
        <v>122</v>
      </c>
      <c r="AB51" s="623" t="s">
        <v>122</v>
      </c>
      <c r="AC51" s="623" t="s">
        <v>122</v>
      </c>
      <c r="AD51" s="623" t="s">
        <v>122</v>
      </c>
      <c r="AE51" s="623" t="s">
        <v>122</v>
      </c>
      <c r="AF51" s="780" t="s">
        <v>122</v>
      </c>
      <c r="AG51" s="266" t="s">
        <v>122</v>
      </c>
      <c r="AH51" s="256" t="s">
        <v>122</v>
      </c>
      <c r="AI51" s="262"/>
      <c r="AJ51" s="263"/>
      <c r="AO51" s="265"/>
    </row>
    <row r="52" spans="2:41" s="264" customFormat="1" ht="20.100000000000001" customHeight="1" thickBot="1" x14ac:dyDescent="0.25">
      <c r="B52" s="255" t="s">
        <v>456</v>
      </c>
      <c r="C52" s="256"/>
      <c r="D52" s="256" t="s">
        <v>111</v>
      </c>
      <c r="E52" s="256" t="s">
        <v>128</v>
      </c>
      <c r="F52" s="191" t="s">
        <v>149</v>
      </c>
      <c r="G52" s="257" t="s">
        <v>193</v>
      </c>
      <c r="H52" s="256" t="s">
        <v>50</v>
      </c>
      <c r="I52" s="256"/>
      <c r="J52" s="771" t="s">
        <v>122</v>
      </c>
      <c r="K52" s="771" t="s">
        <v>68</v>
      </c>
      <c r="L52" s="771" t="s">
        <v>76</v>
      </c>
      <c r="M52" s="251">
        <f>+M51</f>
        <v>0</v>
      </c>
      <c r="N52" s="256"/>
      <c r="O52" s="256" t="s">
        <v>99</v>
      </c>
      <c r="P52" s="258" t="s">
        <v>79</v>
      </c>
      <c r="Q52" s="484" t="s">
        <v>122</v>
      </c>
      <c r="R52" s="623" t="s">
        <v>122</v>
      </c>
      <c r="S52" s="623" t="s">
        <v>122</v>
      </c>
      <c r="T52" s="623" t="s">
        <v>122</v>
      </c>
      <c r="U52" s="484" t="s">
        <v>122</v>
      </c>
      <c r="V52" s="623" t="s">
        <v>122</v>
      </c>
      <c r="W52" s="484" t="s">
        <v>122</v>
      </c>
      <c r="X52" s="623" t="s">
        <v>122</v>
      </c>
      <c r="Y52" s="484" t="s">
        <v>122</v>
      </c>
      <c r="Z52" s="623" t="s">
        <v>122</v>
      </c>
      <c r="AA52" s="623" t="s">
        <v>122</v>
      </c>
      <c r="AB52" s="623" t="s">
        <v>122</v>
      </c>
      <c r="AC52" s="623" t="s">
        <v>122</v>
      </c>
      <c r="AD52" s="623" t="s">
        <v>122</v>
      </c>
      <c r="AE52" s="623" t="s">
        <v>122</v>
      </c>
      <c r="AF52" s="780" t="s">
        <v>122</v>
      </c>
      <c r="AG52" s="266" t="s">
        <v>122</v>
      </c>
      <c r="AH52" s="256" t="s">
        <v>122</v>
      </c>
      <c r="AI52" s="262"/>
      <c r="AJ52" s="263"/>
      <c r="AO52" s="265"/>
    </row>
    <row r="53" spans="2:41" s="264" customFormat="1" ht="20.100000000000001" customHeight="1" thickBot="1" x14ac:dyDescent="0.25">
      <c r="B53" s="273" t="s">
        <v>456</v>
      </c>
      <c r="C53" s="274"/>
      <c r="D53" s="274" t="s">
        <v>111</v>
      </c>
      <c r="E53" s="274" t="s">
        <v>128</v>
      </c>
      <c r="F53" s="216" t="s">
        <v>150</v>
      </c>
      <c r="G53" s="275" t="s">
        <v>194</v>
      </c>
      <c r="H53" s="274" t="s">
        <v>50</v>
      </c>
      <c r="I53" s="274"/>
      <c r="J53" s="771" t="s">
        <v>122</v>
      </c>
      <c r="K53" s="771" t="s">
        <v>68</v>
      </c>
      <c r="L53" s="771" t="s">
        <v>76</v>
      </c>
      <c r="M53" s="251">
        <f>+M52</f>
        <v>0</v>
      </c>
      <c r="N53" s="274"/>
      <c r="O53" s="274" t="s">
        <v>99</v>
      </c>
      <c r="P53" s="276" t="s">
        <v>79</v>
      </c>
      <c r="Q53" s="484" t="s">
        <v>122</v>
      </c>
      <c r="R53" s="623" t="s">
        <v>122</v>
      </c>
      <c r="S53" s="623" t="s">
        <v>122</v>
      </c>
      <c r="T53" s="623" t="s">
        <v>122</v>
      </c>
      <c r="U53" s="484" t="s">
        <v>122</v>
      </c>
      <c r="V53" s="623" t="s">
        <v>122</v>
      </c>
      <c r="W53" s="484" t="s">
        <v>122</v>
      </c>
      <c r="X53" s="623" t="s">
        <v>122</v>
      </c>
      <c r="Y53" s="484" t="s">
        <v>122</v>
      </c>
      <c r="Z53" s="623" t="s">
        <v>122</v>
      </c>
      <c r="AA53" s="623" t="s">
        <v>122</v>
      </c>
      <c r="AB53" s="623" t="s">
        <v>122</v>
      </c>
      <c r="AC53" s="623" t="s">
        <v>122</v>
      </c>
      <c r="AD53" s="623" t="s">
        <v>122</v>
      </c>
      <c r="AE53" s="623" t="s">
        <v>122</v>
      </c>
      <c r="AF53" s="780" t="s">
        <v>122</v>
      </c>
      <c r="AG53" s="266" t="s">
        <v>122</v>
      </c>
      <c r="AH53" s="256" t="s">
        <v>122</v>
      </c>
      <c r="AI53" s="277"/>
      <c r="AJ53" s="263"/>
      <c r="AO53" s="265"/>
    </row>
    <row r="54" spans="2:41" s="264" customFormat="1" ht="33" customHeight="1" thickBot="1" x14ac:dyDescent="0.25">
      <c r="B54" s="255" t="s">
        <v>456</v>
      </c>
      <c r="C54" s="256"/>
      <c r="D54" s="256" t="s">
        <v>111</v>
      </c>
      <c r="E54" s="256" t="s">
        <v>128</v>
      </c>
      <c r="F54" s="191" t="s">
        <v>429</v>
      </c>
      <c r="G54" s="257" t="s">
        <v>171</v>
      </c>
      <c r="H54" s="256" t="s">
        <v>50</v>
      </c>
      <c r="I54" s="256"/>
      <c r="J54" s="771" t="s">
        <v>122</v>
      </c>
      <c r="K54" s="771" t="s">
        <v>68</v>
      </c>
      <c r="L54" s="771" t="s">
        <v>76</v>
      </c>
      <c r="M54" s="251">
        <v>0</v>
      </c>
      <c r="N54" s="256"/>
      <c r="O54" s="256" t="s">
        <v>99</v>
      </c>
      <c r="P54" s="258" t="s">
        <v>79</v>
      </c>
      <c r="Q54" s="484" t="s">
        <v>122</v>
      </c>
      <c r="R54" s="623" t="s">
        <v>122</v>
      </c>
      <c r="S54" s="623" t="s">
        <v>122</v>
      </c>
      <c r="T54" s="623" t="s">
        <v>122</v>
      </c>
      <c r="U54" s="484" t="s">
        <v>122</v>
      </c>
      <c r="V54" s="623" t="s">
        <v>122</v>
      </c>
      <c r="W54" s="484" t="s">
        <v>122</v>
      </c>
      <c r="X54" s="623" t="s">
        <v>122</v>
      </c>
      <c r="Y54" s="484" t="s">
        <v>122</v>
      </c>
      <c r="Z54" s="623" t="s">
        <v>122</v>
      </c>
      <c r="AA54" s="623" t="s">
        <v>122</v>
      </c>
      <c r="AB54" s="623" t="s">
        <v>122</v>
      </c>
      <c r="AC54" s="623" t="s">
        <v>122</v>
      </c>
      <c r="AD54" s="623" t="s">
        <v>122</v>
      </c>
      <c r="AE54" s="623" t="s">
        <v>122</v>
      </c>
      <c r="AF54" s="780" t="s">
        <v>122</v>
      </c>
      <c r="AG54" s="266" t="s">
        <v>122</v>
      </c>
      <c r="AH54" s="256" t="s">
        <v>122</v>
      </c>
      <c r="AI54" s="292" t="s">
        <v>464</v>
      </c>
      <c r="AJ54" s="263"/>
      <c r="AO54" s="265"/>
    </row>
    <row r="55" spans="2:41" s="264" customFormat="1" ht="33" customHeight="1" thickBot="1" x14ac:dyDescent="0.25">
      <c r="B55" s="255" t="s">
        <v>456</v>
      </c>
      <c r="C55" s="256"/>
      <c r="D55" s="256" t="s">
        <v>111</v>
      </c>
      <c r="E55" s="256" t="s">
        <v>128</v>
      </c>
      <c r="F55" s="191" t="s">
        <v>338</v>
      </c>
      <c r="G55" s="257" t="s">
        <v>172</v>
      </c>
      <c r="H55" s="256" t="s">
        <v>50</v>
      </c>
      <c r="I55" s="256"/>
      <c r="J55" s="771" t="s">
        <v>122</v>
      </c>
      <c r="K55" s="771" t="s">
        <v>68</v>
      </c>
      <c r="L55" s="771" t="s">
        <v>76</v>
      </c>
      <c r="M55" s="251">
        <v>0</v>
      </c>
      <c r="N55" s="256"/>
      <c r="O55" s="256" t="s">
        <v>99</v>
      </c>
      <c r="P55" s="258" t="s">
        <v>79</v>
      </c>
      <c r="Q55" s="484" t="s">
        <v>122</v>
      </c>
      <c r="R55" s="623" t="s">
        <v>122</v>
      </c>
      <c r="S55" s="623" t="s">
        <v>122</v>
      </c>
      <c r="T55" s="623" t="s">
        <v>122</v>
      </c>
      <c r="U55" s="484" t="s">
        <v>122</v>
      </c>
      <c r="V55" s="623" t="s">
        <v>122</v>
      </c>
      <c r="W55" s="484" t="s">
        <v>122</v>
      </c>
      <c r="X55" s="623" t="s">
        <v>122</v>
      </c>
      <c r="Y55" s="484" t="s">
        <v>122</v>
      </c>
      <c r="Z55" s="623" t="s">
        <v>122</v>
      </c>
      <c r="AA55" s="623" t="s">
        <v>122</v>
      </c>
      <c r="AB55" s="623" t="s">
        <v>122</v>
      </c>
      <c r="AC55" s="623" t="str">
        <f>+AC54</f>
        <v>N/A</v>
      </c>
      <c r="AD55" s="623" t="s">
        <v>122</v>
      </c>
      <c r="AE55" s="623" t="s">
        <v>122</v>
      </c>
      <c r="AF55" s="780" t="s">
        <v>122</v>
      </c>
      <c r="AG55" s="266" t="s">
        <v>122</v>
      </c>
      <c r="AH55" s="256" t="s">
        <v>122</v>
      </c>
      <c r="AI55" s="292" t="s">
        <v>465</v>
      </c>
      <c r="AJ55" s="263"/>
      <c r="AO55" s="265"/>
    </row>
    <row r="56" spans="2:41" s="264" customFormat="1" ht="33" customHeight="1" thickBot="1" x14ac:dyDescent="0.25">
      <c r="B56" s="255" t="s">
        <v>456</v>
      </c>
      <c r="C56" s="256"/>
      <c r="D56" s="256" t="s">
        <v>111</v>
      </c>
      <c r="E56" s="256" t="s">
        <v>128</v>
      </c>
      <c r="F56" s="191" t="s">
        <v>338</v>
      </c>
      <c r="G56" s="257" t="s">
        <v>173</v>
      </c>
      <c r="H56" s="256" t="s">
        <v>50</v>
      </c>
      <c r="I56" s="256"/>
      <c r="J56" s="771" t="s">
        <v>122</v>
      </c>
      <c r="K56" s="771" t="s">
        <v>68</v>
      </c>
      <c r="L56" s="771" t="s">
        <v>76</v>
      </c>
      <c r="M56" s="251">
        <v>0</v>
      </c>
      <c r="N56" s="256"/>
      <c r="O56" s="256" t="s">
        <v>99</v>
      </c>
      <c r="P56" s="258" t="s">
        <v>79</v>
      </c>
      <c r="Q56" s="484" t="s">
        <v>122</v>
      </c>
      <c r="R56" s="623" t="s">
        <v>122</v>
      </c>
      <c r="S56" s="623" t="s">
        <v>122</v>
      </c>
      <c r="T56" s="623" t="s">
        <v>122</v>
      </c>
      <c r="U56" s="484" t="s">
        <v>122</v>
      </c>
      <c r="V56" s="623" t="s">
        <v>122</v>
      </c>
      <c r="W56" s="484" t="s">
        <v>122</v>
      </c>
      <c r="X56" s="623" t="s">
        <v>122</v>
      </c>
      <c r="Y56" s="484" t="s">
        <v>122</v>
      </c>
      <c r="Z56" s="623" t="s">
        <v>122</v>
      </c>
      <c r="AA56" s="623" t="s">
        <v>122</v>
      </c>
      <c r="AB56" s="623" t="s">
        <v>122</v>
      </c>
      <c r="AC56" s="623" t="str">
        <f>+AC55</f>
        <v>N/A</v>
      </c>
      <c r="AD56" s="623" t="s">
        <v>122</v>
      </c>
      <c r="AE56" s="623" t="s">
        <v>122</v>
      </c>
      <c r="AF56" s="780" t="s">
        <v>122</v>
      </c>
      <c r="AG56" s="266" t="s">
        <v>122</v>
      </c>
      <c r="AH56" s="256" t="s">
        <v>122</v>
      </c>
      <c r="AI56" s="292" t="str">
        <f>+AI55</f>
        <v>PONTÓN CONSTRUIDO CON LOS RECURSOS DEL CONTRATO LP 005-2011.</v>
      </c>
      <c r="AJ56" s="263"/>
      <c r="AO56" s="265"/>
    </row>
    <row r="57" spans="2:41" s="264" customFormat="1" ht="33" customHeight="1" thickBot="1" x14ac:dyDescent="0.25">
      <c r="B57" s="255" t="s">
        <v>456</v>
      </c>
      <c r="C57" s="256"/>
      <c r="D57" s="256" t="s">
        <v>111</v>
      </c>
      <c r="E57" s="256" t="s">
        <v>128</v>
      </c>
      <c r="F57" s="191" t="s">
        <v>338</v>
      </c>
      <c r="G57" s="257" t="s">
        <v>174</v>
      </c>
      <c r="H57" s="256" t="s">
        <v>50</v>
      </c>
      <c r="I57" s="256"/>
      <c r="J57" s="771" t="s">
        <v>122</v>
      </c>
      <c r="K57" s="771" t="s">
        <v>68</v>
      </c>
      <c r="L57" s="771" t="s">
        <v>76</v>
      </c>
      <c r="M57" s="251">
        <v>0</v>
      </c>
      <c r="N57" s="256"/>
      <c r="O57" s="256" t="s">
        <v>99</v>
      </c>
      <c r="P57" s="258" t="s">
        <v>79</v>
      </c>
      <c r="Q57" s="484" t="s">
        <v>122</v>
      </c>
      <c r="R57" s="623" t="s">
        <v>122</v>
      </c>
      <c r="S57" s="623" t="s">
        <v>122</v>
      </c>
      <c r="T57" s="623" t="s">
        <v>122</v>
      </c>
      <c r="U57" s="484" t="s">
        <v>122</v>
      </c>
      <c r="V57" s="623" t="s">
        <v>122</v>
      </c>
      <c r="W57" s="484" t="s">
        <v>122</v>
      </c>
      <c r="X57" s="623" t="s">
        <v>122</v>
      </c>
      <c r="Y57" s="484" t="s">
        <v>122</v>
      </c>
      <c r="Z57" s="623" t="s">
        <v>122</v>
      </c>
      <c r="AA57" s="623" t="s">
        <v>122</v>
      </c>
      <c r="AB57" s="623" t="s">
        <v>122</v>
      </c>
      <c r="AC57" s="623" t="str">
        <f>+AC56</f>
        <v>N/A</v>
      </c>
      <c r="AD57" s="623" t="s">
        <v>122</v>
      </c>
      <c r="AE57" s="623" t="s">
        <v>122</v>
      </c>
      <c r="AF57" s="780" t="s">
        <v>122</v>
      </c>
      <c r="AG57" s="266" t="s">
        <v>122</v>
      </c>
      <c r="AH57" s="256" t="s">
        <v>122</v>
      </c>
      <c r="AI57" s="292" t="str">
        <f>+AI56</f>
        <v>PONTÓN CONSTRUIDO CON LOS RECURSOS DEL CONTRATO LP 005-2011.</v>
      </c>
      <c r="AJ57" s="263"/>
      <c r="AO57" s="265"/>
    </row>
    <row r="58" spans="2:41" s="264" customFormat="1" ht="33" customHeight="1" thickBot="1" x14ac:dyDescent="0.25">
      <c r="B58" s="255" t="s">
        <v>456</v>
      </c>
      <c r="C58" s="256"/>
      <c r="D58" s="256" t="s">
        <v>111</v>
      </c>
      <c r="E58" s="256" t="s">
        <v>128</v>
      </c>
      <c r="F58" s="191" t="s">
        <v>430</v>
      </c>
      <c r="G58" s="257" t="s">
        <v>175</v>
      </c>
      <c r="H58" s="256" t="s">
        <v>50</v>
      </c>
      <c r="I58" s="256"/>
      <c r="J58" s="771" t="s">
        <v>122</v>
      </c>
      <c r="K58" s="771" t="s">
        <v>68</v>
      </c>
      <c r="L58" s="771" t="s">
        <v>76</v>
      </c>
      <c r="M58" s="251">
        <v>0</v>
      </c>
      <c r="N58" s="256"/>
      <c r="O58" s="256" t="s">
        <v>99</v>
      </c>
      <c r="P58" s="258" t="s">
        <v>79</v>
      </c>
      <c r="Q58" s="484" t="s">
        <v>122</v>
      </c>
      <c r="R58" s="623" t="s">
        <v>122</v>
      </c>
      <c r="S58" s="623" t="s">
        <v>122</v>
      </c>
      <c r="T58" s="623" t="s">
        <v>122</v>
      </c>
      <c r="U58" s="484" t="s">
        <v>122</v>
      </c>
      <c r="V58" s="623" t="s">
        <v>122</v>
      </c>
      <c r="W58" s="484" t="s">
        <v>122</v>
      </c>
      <c r="X58" s="623" t="s">
        <v>122</v>
      </c>
      <c r="Y58" s="484" t="s">
        <v>122</v>
      </c>
      <c r="Z58" s="623" t="s">
        <v>122</v>
      </c>
      <c r="AA58" s="623" t="s">
        <v>122</v>
      </c>
      <c r="AB58" s="623" t="s">
        <v>122</v>
      </c>
      <c r="AC58" s="623" t="s">
        <v>122</v>
      </c>
      <c r="AD58" s="623" t="s">
        <v>122</v>
      </c>
      <c r="AE58" s="623" t="s">
        <v>122</v>
      </c>
      <c r="AF58" s="780" t="s">
        <v>122</v>
      </c>
      <c r="AG58" s="266" t="s">
        <v>122</v>
      </c>
      <c r="AH58" s="256" t="s">
        <v>122</v>
      </c>
      <c r="AI58" s="292" t="s">
        <v>466</v>
      </c>
      <c r="AJ58" s="263"/>
      <c r="AO58" s="265"/>
    </row>
    <row r="59" spans="2:41" s="264" customFormat="1" ht="30.75" customHeight="1" thickBot="1" x14ac:dyDescent="0.25">
      <c r="B59" s="253" t="s">
        <v>456</v>
      </c>
      <c r="C59" s="254"/>
      <c r="D59" s="254" t="s">
        <v>111</v>
      </c>
      <c r="E59" s="254" t="s">
        <v>128</v>
      </c>
      <c r="F59" s="199" t="s">
        <v>431</v>
      </c>
      <c r="G59" s="252" t="s">
        <v>176</v>
      </c>
      <c r="H59" s="254" t="s">
        <v>50</v>
      </c>
      <c r="I59" s="254"/>
      <c r="J59" s="771" t="s">
        <v>122</v>
      </c>
      <c r="K59" s="771" t="s">
        <v>68</v>
      </c>
      <c r="L59" s="771" t="s">
        <v>76</v>
      </c>
      <c r="M59" s="267">
        <v>0</v>
      </c>
      <c r="N59" s="254"/>
      <c r="O59" s="254" t="s">
        <v>99</v>
      </c>
      <c r="P59" s="268" t="s">
        <v>79</v>
      </c>
      <c r="Q59" s="484" t="s">
        <v>122</v>
      </c>
      <c r="R59" s="623" t="s">
        <v>122</v>
      </c>
      <c r="S59" s="623" t="s">
        <v>122</v>
      </c>
      <c r="T59" s="623" t="s">
        <v>122</v>
      </c>
      <c r="U59" s="484" t="s">
        <v>122</v>
      </c>
      <c r="V59" s="623" t="s">
        <v>122</v>
      </c>
      <c r="W59" s="484" t="s">
        <v>122</v>
      </c>
      <c r="X59" s="623" t="s">
        <v>122</v>
      </c>
      <c r="Y59" s="484" t="s">
        <v>122</v>
      </c>
      <c r="Z59" s="623" t="s">
        <v>122</v>
      </c>
      <c r="AA59" s="623" t="s">
        <v>122</v>
      </c>
      <c r="AB59" s="623" t="s">
        <v>122</v>
      </c>
      <c r="AC59" s="623" t="s">
        <v>122</v>
      </c>
      <c r="AD59" s="623" t="s">
        <v>122</v>
      </c>
      <c r="AE59" s="623" t="s">
        <v>122</v>
      </c>
      <c r="AF59" s="780" t="s">
        <v>122</v>
      </c>
      <c r="AG59" s="266" t="s">
        <v>122</v>
      </c>
      <c r="AH59" s="256" t="s">
        <v>122</v>
      </c>
      <c r="AI59" s="292" t="s">
        <v>467</v>
      </c>
      <c r="AJ59" s="263"/>
      <c r="AO59" s="265"/>
    </row>
    <row r="60" spans="2:41" s="264" customFormat="1" ht="30.75" customHeight="1" thickBot="1" x14ac:dyDescent="0.25">
      <c r="B60" s="255" t="s">
        <v>456</v>
      </c>
      <c r="C60" s="256"/>
      <c r="D60" s="256" t="s">
        <v>111</v>
      </c>
      <c r="E60" s="256" t="s">
        <v>128</v>
      </c>
      <c r="F60" s="191" t="s">
        <v>432</v>
      </c>
      <c r="G60" s="257" t="s">
        <v>177</v>
      </c>
      <c r="H60" s="256" t="s">
        <v>50</v>
      </c>
      <c r="I60" s="256"/>
      <c r="J60" s="771" t="s">
        <v>122</v>
      </c>
      <c r="K60" s="771" t="s">
        <v>68</v>
      </c>
      <c r="L60" s="771" t="s">
        <v>76</v>
      </c>
      <c r="M60" s="251">
        <v>0</v>
      </c>
      <c r="N60" s="256"/>
      <c r="O60" s="256" t="s">
        <v>99</v>
      </c>
      <c r="P60" s="258" t="s">
        <v>79</v>
      </c>
      <c r="Q60" s="484" t="s">
        <v>122</v>
      </c>
      <c r="R60" s="623" t="s">
        <v>122</v>
      </c>
      <c r="S60" s="623" t="s">
        <v>122</v>
      </c>
      <c r="T60" s="623" t="s">
        <v>122</v>
      </c>
      <c r="U60" s="484" t="s">
        <v>122</v>
      </c>
      <c r="V60" s="623" t="s">
        <v>122</v>
      </c>
      <c r="W60" s="484" t="s">
        <v>122</v>
      </c>
      <c r="X60" s="623" t="s">
        <v>122</v>
      </c>
      <c r="Y60" s="484" t="s">
        <v>122</v>
      </c>
      <c r="Z60" s="623" t="s">
        <v>122</v>
      </c>
      <c r="AA60" s="623" t="s">
        <v>122</v>
      </c>
      <c r="AB60" s="623" t="s">
        <v>122</v>
      </c>
      <c r="AC60" s="623" t="str">
        <f>+AC59</f>
        <v>N/A</v>
      </c>
      <c r="AD60" s="623" t="s">
        <v>122</v>
      </c>
      <c r="AE60" s="623" t="s">
        <v>122</v>
      </c>
      <c r="AF60" s="780" t="s">
        <v>122</v>
      </c>
      <c r="AG60" s="266" t="s">
        <v>122</v>
      </c>
      <c r="AH60" s="256" t="s">
        <v>122</v>
      </c>
      <c r="AI60" s="292" t="s">
        <v>468</v>
      </c>
      <c r="AJ60" s="263"/>
      <c r="AO60" s="265"/>
    </row>
    <row r="61" spans="2:41" s="264" customFormat="1" ht="30.75" customHeight="1" thickBot="1" x14ac:dyDescent="0.25">
      <c r="B61" s="255" t="s">
        <v>456</v>
      </c>
      <c r="C61" s="256"/>
      <c r="D61" s="256" t="s">
        <v>111</v>
      </c>
      <c r="E61" s="256" t="s">
        <v>128</v>
      </c>
      <c r="F61" s="191" t="s">
        <v>433</v>
      </c>
      <c r="G61" s="257" t="s">
        <v>178</v>
      </c>
      <c r="H61" s="256" t="s">
        <v>50</v>
      </c>
      <c r="I61" s="256"/>
      <c r="J61" s="771" t="s">
        <v>122</v>
      </c>
      <c r="K61" s="771" t="s">
        <v>68</v>
      </c>
      <c r="L61" s="771" t="s">
        <v>76</v>
      </c>
      <c r="M61" s="251">
        <v>0</v>
      </c>
      <c r="N61" s="256"/>
      <c r="O61" s="256" t="s">
        <v>99</v>
      </c>
      <c r="P61" s="258" t="s">
        <v>79</v>
      </c>
      <c r="Q61" s="484" t="s">
        <v>122</v>
      </c>
      <c r="R61" s="623" t="s">
        <v>122</v>
      </c>
      <c r="S61" s="623" t="s">
        <v>122</v>
      </c>
      <c r="T61" s="623" t="s">
        <v>122</v>
      </c>
      <c r="U61" s="484" t="s">
        <v>122</v>
      </c>
      <c r="V61" s="623" t="s">
        <v>122</v>
      </c>
      <c r="W61" s="484" t="s">
        <v>122</v>
      </c>
      <c r="X61" s="623" t="s">
        <v>122</v>
      </c>
      <c r="Y61" s="484" t="s">
        <v>122</v>
      </c>
      <c r="Z61" s="623" t="s">
        <v>122</v>
      </c>
      <c r="AA61" s="623" t="s">
        <v>122</v>
      </c>
      <c r="AB61" s="623" t="s">
        <v>122</v>
      </c>
      <c r="AC61" s="623" t="str">
        <f>+AC60</f>
        <v>N/A</v>
      </c>
      <c r="AD61" s="623" t="s">
        <v>122</v>
      </c>
      <c r="AE61" s="623" t="s">
        <v>122</v>
      </c>
      <c r="AF61" s="780" t="s">
        <v>122</v>
      </c>
      <c r="AG61" s="266" t="s">
        <v>122</v>
      </c>
      <c r="AH61" s="256" t="s">
        <v>122</v>
      </c>
      <c r="AI61" s="271" t="s">
        <v>339</v>
      </c>
      <c r="AJ61" s="263"/>
      <c r="AO61" s="265"/>
    </row>
    <row r="62" spans="2:41" s="264" customFormat="1" ht="30.75" customHeight="1" thickBot="1" x14ac:dyDescent="0.25">
      <c r="B62" s="255" t="s">
        <v>456</v>
      </c>
      <c r="C62" s="256"/>
      <c r="D62" s="256" t="s">
        <v>111</v>
      </c>
      <c r="E62" s="256" t="s">
        <v>128</v>
      </c>
      <c r="F62" s="191" t="s">
        <v>434</v>
      </c>
      <c r="G62" s="257" t="s">
        <v>179</v>
      </c>
      <c r="H62" s="256" t="s">
        <v>50</v>
      </c>
      <c r="I62" s="256"/>
      <c r="J62" s="771" t="s">
        <v>122</v>
      </c>
      <c r="K62" s="771" t="s">
        <v>68</v>
      </c>
      <c r="L62" s="771" t="s">
        <v>76</v>
      </c>
      <c r="M62" s="251">
        <v>0</v>
      </c>
      <c r="N62" s="256"/>
      <c r="O62" s="256" t="s">
        <v>99</v>
      </c>
      <c r="P62" s="258" t="s">
        <v>79</v>
      </c>
      <c r="Q62" s="484" t="s">
        <v>122</v>
      </c>
      <c r="R62" s="623" t="s">
        <v>122</v>
      </c>
      <c r="S62" s="623" t="s">
        <v>122</v>
      </c>
      <c r="T62" s="623" t="s">
        <v>122</v>
      </c>
      <c r="U62" s="484" t="s">
        <v>122</v>
      </c>
      <c r="V62" s="623" t="s">
        <v>122</v>
      </c>
      <c r="W62" s="484" t="s">
        <v>122</v>
      </c>
      <c r="X62" s="623" t="s">
        <v>122</v>
      </c>
      <c r="Y62" s="484" t="s">
        <v>122</v>
      </c>
      <c r="Z62" s="623" t="s">
        <v>122</v>
      </c>
      <c r="AA62" s="623" t="s">
        <v>122</v>
      </c>
      <c r="AB62" s="623" t="s">
        <v>122</v>
      </c>
      <c r="AC62" s="623" t="str">
        <f>+AC61</f>
        <v>N/A</v>
      </c>
      <c r="AD62" s="623" t="s">
        <v>122</v>
      </c>
      <c r="AE62" s="623" t="s">
        <v>122</v>
      </c>
      <c r="AF62" s="780" t="s">
        <v>122</v>
      </c>
      <c r="AG62" s="266" t="s">
        <v>122</v>
      </c>
      <c r="AH62" s="256" t="s">
        <v>122</v>
      </c>
      <c r="AI62" s="271" t="s">
        <v>339</v>
      </c>
      <c r="AJ62" s="263"/>
      <c r="AO62" s="265"/>
    </row>
    <row r="63" spans="2:41" s="264" customFormat="1" ht="28.5" customHeight="1" thickBot="1" x14ac:dyDescent="0.25">
      <c r="B63" s="255" t="s">
        <v>456</v>
      </c>
      <c r="C63" s="256"/>
      <c r="D63" s="256" t="s">
        <v>111</v>
      </c>
      <c r="E63" s="256" t="s">
        <v>128</v>
      </c>
      <c r="F63" s="191" t="s">
        <v>435</v>
      </c>
      <c r="G63" s="257" t="s">
        <v>180</v>
      </c>
      <c r="H63" s="256" t="s">
        <v>50</v>
      </c>
      <c r="I63" s="256"/>
      <c r="J63" s="771" t="s">
        <v>122</v>
      </c>
      <c r="K63" s="771" t="s">
        <v>68</v>
      </c>
      <c r="L63" s="771" t="s">
        <v>76</v>
      </c>
      <c r="M63" s="251">
        <v>0</v>
      </c>
      <c r="N63" s="256"/>
      <c r="O63" s="256" t="s">
        <v>99</v>
      </c>
      <c r="P63" s="258" t="s">
        <v>79</v>
      </c>
      <c r="Q63" s="484" t="s">
        <v>122</v>
      </c>
      <c r="R63" s="623" t="s">
        <v>122</v>
      </c>
      <c r="S63" s="623" t="s">
        <v>122</v>
      </c>
      <c r="T63" s="623" t="s">
        <v>122</v>
      </c>
      <c r="U63" s="484" t="s">
        <v>122</v>
      </c>
      <c r="V63" s="623" t="s">
        <v>122</v>
      </c>
      <c r="W63" s="484" t="s">
        <v>122</v>
      </c>
      <c r="X63" s="623" t="s">
        <v>122</v>
      </c>
      <c r="Y63" s="484" t="s">
        <v>122</v>
      </c>
      <c r="Z63" s="623" t="s">
        <v>122</v>
      </c>
      <c r="AA63" s="623" t="s">
        <v>122</v>
      </c>
      <c r="AB63" s="623" t="s">
        <v>122</v>
      </c>
      <c r="AC63" s="623" t="s">
        <v>122</v>
      </c>
      <c r="AD63" s="623" t="s">
        <v>122</v>
      </c>
      <c r="AE63" s="623" t="s">
        <v>122</v>
      </c>
      <c r="AF63" s="780" t="s">
        <v>122</v>
      </c>
      <c r="AG63" s="266" t="s">
        <v>122</v>
      </c>
      <c r="AH63" s="256" t="s">
        <v>122</v>
      </c>
      <c r="AI63" s="292" t="s">
        <v>469</v>
      </c>
      <c r="AJ63" s="263"/>
      <c r="AO63" s="265"/>
    </row>
    <row r="64" spans="2:41" s="264" customFormat="1" ht="30.75" customHeight="1" thickBot="1" x14ac:dyDescent="0.25">
      <c r="B64" s="255" t="s">
        <v>456</v>
      </c>
      <c r="C64" s="256"/>
      <c r="D64" s="256" t="s">
        <v>111</v>
      </c>
      <c r="E64" s="256" t="s">
        <v>128</v>
      </c>
      <c r="F64" s="191" t="s">
        <v>436</v>
      </c>
      <c r="G64" s="257" t="s">
        <v>181</v>
      </c>
      <c r="H64" s="256" t="s">
        <v>50</v>
      </c>
      <c r="I64" s="256"/>
      <c r="J64" s="771" t="s">
        <v>122</v>
      </c>
      <c r="K64" s="771" t="s">
        <v>68</v>
      </c>
      <c r="L64" s="771" t="s">
        <v>76</v>
      </c>
      <c r="M64" s="251">
        <v>0</v>
      </c>
      <c r="N64" s="256"/>
      <c r="O64" s="256" t="s">
        <v>99</v>
      </c>
      <c r="P64" s="258" t="s">
        <v>79</v>
      </c>
      <c r="Q64" s="484" t="s">
        <v>122</v>
      </c>
      <c r="R64" s="623" t="s">
        <v>122</v>
      </c>
      <c r="S64" s="623" t="s">
        <v>122</v>
      </c>
      <c r="T64" s="623" t="s">
        <v>122</v>
      </c>
      <c r="U64" s="484" t="s">
        <v>122</v>
      </c>
      <c r="V64" s="623" t="s">
        <v>122</v>
      </c>
      <c r="W64" s="484" t="s">
        <v>122</v>
      </c>
      <c r="X64" s="623" t="s">
        <v>122</v>
      </c>
      <c r="Y64" s="484" t="s">
        <v>122</v>
      </c>
      <c r="Z64" s="623" t="s">
        <v>122</v>
      </c>
      <c r="AA64" s="623" t="s">
        <v>122</v>
      </c>
      <c r="AB64" s="623" t="s">
        <v>122</v>
      </c>
      <c r="AC64" s="623" t="str">
        <f>+AC63</f>
        <v>N/A</v>
      </c>
      <c r="AD64" s="623" t="s">
        <v>122</v>
      </c>
      <c r="AE64" s="623" t="s">
        <v>122</v>
      </c>
      <c r="AF64" s="780" t="s">
        <v>122</v>
      </c>
      <c r="AG64" s="266" t="s">
        <v>122</v>
      </c>
      <c r="AH64" s="256" t="s">
        <v>122</v>
      </c>
      <c r="AI64" s="292" t="s">
        <v>469</v>
      </c>
      <c r="AJ64" s="263"/>
      <c r="AO64" s="265"/>
    </row>
    <row r="65" spans="2:43" s="264" customFormat="1" ht="30.75" customHeight="1" thickBot="1" x14ac:dyDescent="0.25">
      <c r="B65" s="255" t="s">
        <v>456</v>
      </c>
      <c r="C65" s="256"/>
      <c r="D65" s="256" t="s">
        <v>111</v>
      </c>
      <c r="E65" s="256" t="s">
        <v>128</v>
      </c>
      <c r="F65" s="191" t="s">
        <v>437</v>
      </c>
      <c r="G65" s="257" t="s">
        <v>182</v>
      </c>
      <c r="H65" s="256" t="s">
        <v>50</v>
      </c>
      <c r="I65" s="256"/>
      <c r="J65" s="771" t="s">
        <v>122</v>
      </c>
      <c r="K65" s="771" t="s">
        <v>68</v>
      </c>
      <c r="L65" s="771" t="s">
        <v>76</v>
      </c>
      <c r="M65" s="251">
        <v>0</v>
      </c>
      <c r="N65" s="256"/>
      <c r="O65" s="256" t="s">
        <v>99</v>
      </c>
      <c r="P65" s="258" t="s">
        <v>79</v>
      </c>
      <c r="Q65" s="484" t="s">
        <v>122</v>
      </c>
      <c r="R65" s="623" t="s">
        <v>122</v>
      </c>
      <c r="S65" s="623" t="s">
        <v>122</v>
      </c>
      <c r="T65" s="623" t="s">
        <v>122</v>
      </c>
      <c r="U65" s="484" t="s">
        <v>122</v>
      </c>
      <c r="V65" s="623" t="s">
        <v>122</v>
      </c>
      <c r="W65" s="484" t="s">
        <v>122</v>
      </c>
      <c r="X65" s="623" t="s">
        <v>122</v>
      </c>
      <c r="Y65" s="484" t="s">
        <v>122</v>
      </c>
      <c r="Z65" s="623" t="s">
        <v>122</v>
      </c>
      <c r="AA65" s="623" t="s">
        <v>122</v>
      </c>
      <c r="AB65" s="623" t="s">
        <v>122</v>
      </c>
      <c r="AC65" s="623" t="str">
        <f>+AC63</f>
        <v>N/A</v>
      </c>
      <c r="AD65" s="623" t="s">
        <v>122</v>
      </c>
      <c r="AE65" s="623" t="s">
        <v>122</v>
      </c>
      <c r="AF65" s="780" t="s">
        <v>122</v>
      </c>
      <c r="AG65" s="266" t="s">
        <v>122</v>
      </c>
      <c r="AH65" s="256" t="s">
        <v>122</v>
      </c>
      <c r="AI65" s="292" t="s">
        <v>469</v>
      </c>
      <c r="AJ65" s="263"/>
      <c r="AO65" s="265"/>
    </row>
    <row r="66" spans="2:43" s="264" customFormat="1" ht="33.75" customHeight="1" thickBot="1" x14ac:dyDescent="0.25">
      <c r="B66" s="255" t="s">
        <v>456</v>
      </c>
      <c r="C66" s="256"/>
      <c r="D66" s="256" t="s">
        <v>111</v>
      </c>
      <c r="E66" s="256" t="s">
        <v>128</v>
      </c>
      <c r="F66" s="191" t="s">
        <v>470</v>
      </c>
      <c r="G66" s="257" t="s">
        <v>190</v>
      </c>
      <c r="H66" s="256" t="s">
        <v>50</v>
      </c>
      <c r="I66" s="256"/>
      <c r="J66" s="771" t="s">
        <v>122</v>
      </c>
      <c r="K66" s="771" t="s">
        <v>68</v>
      </c>
      <c r="L66" s="771" t="s">
        <v>76</v>
      </c>
      <c r="M66" s="251">
        <v>0</v>
      </c>
      <c r="N66" s="256"/>
      <c r="O66" s="256" t="s">
        <v>99</v>
      </c>
      <c r="P66" s="258" t="s">
        <v>79</v>
      </c>
      <c r="Q66" s="484" t="s">
        <v>122</v>
      </c>
      <c r="R66" s="623" t="s">
        <v>122</v>
      </c>
      <c r="S66" s="623" t="s">
        <v>122</v>
      </c>
      <c r="T66" s="623" t="s">
        <v>122</v>
      </c>
      <c r="U66" s="484" t="s">
        <v>122</v>
      </c>
      <c r="V66" s="623" t="s">
        <v>122</v>
      </c>
      <c r="W66" s="484" t="s">
        <v>122</v>
      </c>
      <c r="X66" s="623" t="s">
        <v>122</v>
      </c>
      <c r="Y66" s="484" t="s">
        <v>122</v>
      </c>
      <c r="Z66" s="623" t="s">
        <v>122</v>
      </c>
      <c r="AA66" s="623" t="s">
        <v>122</v>
      </c>
      <c r="AB66" s="623" t="s">
        <v>122</v>
      </c>
      <c r="AC66" s="623" t="s">
        <v>122</v>
      </c>
      <c r="AD66" s="623" t="s">
        <v>122</v>
      </c>
      <c r="AE66" s="623" t="s">
        <v>122</v>
      </c>
      <c r="AF66" s="780" t="s">
        <v>122</v>
      </c>
      <c r="AG66" s="266" t="s">
        <v>122</v>
      </c>
      <c r="AH66" s="256" t="s">
        <v>122</v>
      </c>
      <c r="AI66" s="272" t="s">
        <v>471</v>
      </c>
      <c r="AJ66" s="263"/>
      <c r="AO66" s="265"/>
    </row>
    <row r="67" spans="2:43" ht="26.25" customHeight="1" thickBot="1" x14ac:dyDescent="0.25">
      <c r="B67" s="189" t="s">
        <v>127</v>
      </c>
      <c r="C67" s="190"/>
      <c r="D67" s="197" t="s">
        <v>111</v>
      </c>
      <c r="E67" s="190" t="s">
        <v>128</v>
      </c>
      <c r="F67" s="298" t="s">
        <v>442</v>
      </c>
      <c r="G67" s="299" t="s">
        <v>350</v>
      </c>
      <c r="H67" s="190" t="s">
        <v>51</v>
      </c>
      <c r="I67" s="190"/>
      <c r="J67" s="190"/>
      <c r="K67" s="190" t="s">
        <v>68</v>
      </c>
      <c r="L67" s="772" t="s">
        <v>76</v>
      </c>
      <c r="M67" s="606">
        <f>('[9]PROYEC GASTOS GERENCIA'!$AD$35)</f>
        <v>50375000</v>
      </c>
      <c r="N67" s="190"/>
      <c r="O67" s="190" t="s">
        <v>99</v>
      </c>
      <c r="P67" s="190"/>
      <c r="Q67" s="783" t="s">
        <v>122</v>
      </c>
      <c r="R67" s="783" t="s">
        <v>122</v>
      </c>
      <c r="S67" s="783" t="s">
        <v>122</v>
      </c>
      <c r="T67" s="783" t="s">
        <v>122</v>
      </c>
      <c r="U67" s="783" t="s">
        <v>122</v>
      </c>
      <c r="V67" s="783" t="s">
        <v>122</v>
      </c>
      <c r="W67" s="783" t="s">
        <v>122</v>
      </c>
      <c r="X67" s="783" t="s">
        <v>122</v>
      </c>
      <c r="Y67" s="783" t="s">
        <v>122</v>
      </c>
      <c r="Z67" s="783" t="s">
        <v>122</v>
      </c>
      <c r="AA67" s="783" t="s">
        <v>122</v>
      </c>
      <c r="AB67" s="783" t="s">
        <v>122</v>
      </c>
      <c r="AC67" s="783" t="s">
        <v>122</v>
      </c>
      <c r="AD67" s="783" t="s">
        <v>122</v>
      </c>
      <c r="AE67" s="783" t="s">
        <v>122</v>
      </c>
      <c r="AF67" s="784" t="s">
        <v>122</v>
      </c>
      <c r="AG67" s="296"/>
      <c r="AH67" s="190"/>
      <c r="AI67" s="198" t="s">
        <v>122</v>
      </c>
      <c r="AJ67" s="263"/>
      <c r="AO67" s="2"/>
    </row>
    <row r="68" spans="2:43" ht="20.100000000000001" customHeight="1" x14ac:dyDescent="0.2">
      <c r="B68" s="14"/>
      <c r="C68" s="14"/>
      <c r="D68" s="14"/>
      <c r="E68" s="14"/>
      <c r="F68" s="28"/>
      <c r="G68" s="224" t="e">
        <f>+M10+M18+M28+#REF!</f>
        <v>#REF!</v>
      </c>
      <c r="H68" s="14"/>
      <c r="I68" s="14"/>
      <c r="J68" s="14"/>
      <c r="K68" s="247"/>
      <c r="L68" s="247"/>
      <c r="M68" s="536">
        <f>SUM(M6:M67)</f>
        <v>202629315365.69</v>
      </c>
      <c r="N68" s="297" t="s">
        <v>312</v>
      </c>
      <c r="O68" s="14"/>
      <c r="P68" s="14"/>
      <c r="Q68" s="14"/>
      <c r="R68" s="14"/>
      <c r="S68" s="14"/>
      <c r="T68" s="14"/>
      <c r="U68" s="14"/>
      <c r="V68" s="14"/>
      <c r="W68" s="14"/>
      <c r="X68" s="14"/>
      <c r="Y68" s="14"/>
      <c r="Z68" s="14"/>
      <c r="AA68" s="14"/>
      <c r="AB68" s="14"/>
      <c r="AC68" s="14"/>
      <c r="AD68" s="14"/>
      <c r="AE68" s="14"/>
      <c r="AF68" s="14"/>
      <c r="AG68" s="14"/>
      <c r="AH68" s="14"/>
      <c r="AI68" s="14"/>
      <c r="AO68" s="2"/>
    </row>
    <row r="69" spans="2:43" ht="20.100000000000001" customHeight="1" x14ac:dyDescent="0.2">
      <c r="B69" s="14"/>
      <c r="C69" s="14"/>
      <c r="D69" s="14"/>
      <c r="E69" s="14"/>
      <c r="F69" s="28">
        <f>2625000000*2+2730000000</f>
        <v>7980000000</v>
      </c>
      <c r="G69" s="224">
        <f>+M44+((180000000*11)*1.05)</f>
        <v>6079000000</v>
      </c>
      <c r="H69" s="14"/>
      <c r="I69" s="14"/>
      <c r="J69" s="14"/>
      <c r="K69" s="14"/>
      <c r="L69" s="14"/>
      <c r="M69" s="224">
        <f>SUM(M6:M66)</f>
        <v>202578940365.69</v>
      </c>
      <c r="N69" s="653">
        <f>+M68+L156</f>
        <v>219095120235.69055</v>
      </c>
      <c r="O69" s="14"/>
      <c r="P69" s="14"/>
      <c r="Q69" s="14"/>
      <c r="R69" s="14"/>
      <c r="S69" s="14"/>
      <c r="T69" s="14"/>
      <c r="U69" s="14"/>
      <c r="V69" s="14"/>
      <c r="W69" s="14"/>
      <c r="X69" s="14"/>
      <c r="Y69" s="14"/>
      <c r="Z69" s="14"/>
      <c r="AA69" s="14"/>
      <c r="AB69" s="14"/>
      <c r="AC69" s="14"/>
      <c r="AD69" s="14"/>
      <c r="AE69" s="14"/>
      <c r="AF69" s="14"/>
      <c r="AG69" s="14"/>
      <c r="AH69" s="14"/>
      <c r="AI69" s="14"/>
      <c r="AO69" s="2"/>
    </row>
    <row r="70" spans="2:43" ht="12.75" customHeight="1" thickBot="1" x14ac:dyDescent="0.25">
      <c r="E70" s="317"/>
      <c r="F70" s="317"/>
      <c r="G70" s="224"/>
      <c r="N70" s="536">
        <v>232724304028.53375</v>
      </c>
      <c r="AO70" s="2" t="s">
        <v>85</v>
      </c>
    </row>
    <row r="71" spans="2:43" ht="15.75" customHeight="1" x14ac:dyDescent="0.2">
      <c r="B71" s="835" t="s">
        <v>20</v>
      </c>
      <c r="C71" s="836"/>
      <c r="D71" s="836"/>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8"/>
      <c r="AO71" s="2" t="s">
        <v>86</v>
      </c>
    </row>
    <row r="72" spans="2:43" ht="18.75" customHeight="1" x14ac:dyDescent="0.2">
      <c r="B72" s="843" t="s">
        <v>2</v>
      </c>
      <c r="C72" s="839" t="s">
        <v>472</v>
      </c>
      <c r="D72" s="839" t="s">
        <v>108</v>
      </c>
      <c r="E72" s="834" t="s">
        <v>87</v>
      </c>
      <c r="F72" s="834" t="s">
        <v>3</v>
      </c>
      <c r="G72" s="834" t="s">
        <v>4</v>
      </c>
      <c r="H72" s="839" t="s">
        <v>138</v>
      </c>
      <c r="I72" s="834" t="s">
        <v>5</v>
      </c>
      <c r="J72" s="839" t="s">
        <v>93</v>
      </c>
      <c r="K72" s="834" t="s">
        <v>134</v>
      </c>
      <c r="L72" s="834" t="s">
        <v>135</v>
      </c>
      <c r="M72" s="834" t="s">
        <v>6</v>
      </c>
      <c r="N72" s="834" t="s">
        <v>102</v>
      </c>
      <c r="O72" s="839" t="s">
        <v>136</v>
      </c>
      <c r="P72" s="834" t="s">
        <v>137</v>
      </c>
      <c r="Q72" s="834" t="s">
        <v>7</v>
      </c>
      <c r="R72" s="834"/>
      <c r="S72" s="834"/>
      <c r="T72" s="834"/>
      <c r="U72" s="834"/>
      <c r="V72" s="834"/>
      <c r="W72" s="834"/>
      <c r="X72" s="834"/>
      <c r="Y72" s="834"/>
      <c r="Z72" s="834"/>
      <c r="AA72" s="834"/>
      <c r="AB72" s="834"/>
      <c r="AC72" s="834"/>
      <c r="AD72" s="834"/>
      <c r="AE72" s="834"/>
      <c r="AF72" s="834"/>
      <c r="AG72" s="834" t="s">
        <v>8</v>
      </c>
      <c r="AH72" s="834" t="s">
        <v>9</v>
      </c>
      <c r="AI72" s="847" t="s">
        <v>0</v>
      </c>
    </row>
    <row r="73" spans="2:43" ht="35.25" customHeight="1" x14ac:dyDescent="0.2">
      <c r="B73" s="843"/>
      <c r="C73" s="845"/>
      <c r="D73" s="845"/>
      <c r="E73" s="834"/>
      <c r="F73" s="834"/>
      <c r="G73" s="834"/>
      <c r="H73" s="845"/>
      <c r="I73" s="834"/>
      <c r="J73" s="845"/>
      <c r="K73" s="834"/>
      <c r="L73" s="834"/>
      <c r="M73" s="834"/>
      <c r="N73" s="834"/>
      <c r="O73" s="845"/>
      <c r="P73" s="834"/>
      <c r="Q73" s="834" t="s">
        <v>10</v>
      </c>
      <c r="R73" s="834"/>
      <c r="S73" s="834" t="s">
        <v>11</v>
      </c>
      <c r="T73" s="834"/>
      <c r="U73" s="834" t="s">
        <v>12</v>
      </c>
      <c r="V73" s="834"/>
      <c r="W73" s="834" t="s">
        <v>13</v>
      </c>
      <c r="X73" s="834"/>
      <c r="Y73" s="834" t="s">
        <v>14</v>
      </c>
      <c r="Z73" s="834"/>
      <c r="AA73" s="834" t="s">
        <v>15</v>
      </c>
      <c r="AB73" s="834"/>
      <c r="AC73" s="834" t="s">
        <v>16</v>
      </c>
      <c r="AD73" s="834"/>
      <c r="AE73" s="834" t="s">
        <v>17</v>
      </c>
      <c r="AF73" s="834"/>
      <c r="AG73" s="834"/>
      <c r="AH73" s="834"/>
      <c r="AI73" s="847"/>
    </row>
    <row r="74" spans="2:43" ht="25.5" customHeight="1" x14ac:dyDescent="0.2">
      <c r="B74" s="843"/>
      <c r="C74" s="846"/>
      <c r="D74" s="846"/>
      <c r="E74" s="834"/>
      <c r="F74" s="834"/>
      <c r="G74" s="834"/>
      <c r="H74" s="846"/>
      <c r="I74" s="834"/>
      <c r="J74" s="846"/>
      <c r="K74" s="834"/>
      <c r="L74" s="834"/>
      <c r="M74" s="834"/>
      <c r="N74" s="834"/>
      <c r="O74" s="846"/>
      <c r="P74" s="834"/>
      <c r="Q74" s="368" t="s">
        <v>18</v>
      </c>
      <c r="R74" s="368" t="s">
        <v>19</v>
      </c>
      <c r="S74" s="368" t="s">
        <v>18</v>
      </c>
      <c r="T74" s="368" t="s">
        <v>19</v>
      </c>
      <c r="U74" s="368" t="s">
        <v>18</v>
      </c>
      <c r="V74" s="368" t="s">
        <v>19</v>
      </c>
      <c r="W74" s="368" t="s">
        <v>18</v>
      </c>
      <c r="X74" s="368" t="s">
        <v>19</v>
      </c>
      <c r="Y74" s="368" t="s">
        <v>18</v>
      </c>
      <c r="Z74" s="368" t="s">
        <v>19</v>
      </c>
      <c r="AA74" s="368" t="s">
        <v>18</v>
      </c>
      <c r="AB74" s="368" t="s">
        <v>19</v>
      </c>
      <c r="AC74" s="368" t="s">
        <v>18</v>
      </c>
      <c r="AD74" s="368" t="s">
        <v>19</v>
      </c>
      <c r="AE74" s="368" t="s">
        <v>18</v>
      </c>
      <c r="AF74" s="368" t="s">
        <v>19</v>
      </c>
      <c r="AG74" s="834"/>
      <c r="AH74" s="834"/>
      <c r="AI74" s="847"/>
      <c r="AO74" s="2" t="s">
        <v>49</v>
      </c>
    </row>
    <row r="75" spans="2:43" ht="43.5" customHeight="1" thickBot="1" x14ac:dyDescent="0.25">
      <c r="B75" s="3" t="s">
        <v>456</v>
      </c>
      <c r="C75" s="5"/>
      <c r="D75" s="5" t="s">
        <v>111</v>
      </c>
      <c r="E75" s="5" t="s">
        <v>128</v>
      </c>
      <c r="F75" s="25" t="s">
        <v>348</v>
      </c>
      <c r="G75" s="5"/>
      <c r="H75" s="5" t="s">
        <v>51</v>
      </c>
      <c r="I75" s="5"/>
      <c r="J75" s="26"/>
      <c r="K75" s="5" t="s">
        <v>68</v>
      </c>
      <c r="L75" s="5" t="s">
        <v>76</v>
      </c>
      <c r="M75" s="611">
        <v>16371206849.919767</v>
      </c>
      <c r="N75" s="5"/>
      <c r="O75" s="5" t="s">
        <v>99</v>
      </c>
      <c r="P75" s="2"/>
      <c r="Q75" s="20" t="s">
        <v>122</v>
      </c>
      <c r="R75" s="20" t="s">
        <v>122</v>
      </c>
      <c r="S75" s="20" t="s">
        <v>122</v>
      </c>
      <c r="T75" s="20" t="s">
        <v>122</v>
      </c>
      <c r="U75" s="20" t="s">
        <v>122</v>
      </c>
      <c r="V75" s="20" t="s">
        <v>122</v>
      </c>
      <c r="W75" s="20" t="s">
        <v>122</v>
      </c>
      <c r="X75" s="20" t="s">
        <v>122</v>
      </c>
      <c r="Y75" s="20" t="s">
        <v>122</v>
      </c>
      <c r="Z75" s="20" t="s">
        <v>122</v>
      </c>
      <c r="AA75" s="20" t="s">
        <v>122</v>
      </c>
      <c r="AB75" s="20" t="s">
        <v>122</v>
      </c>
      <c r="AC75" s="20" t="s">
        <v>122</v>
      </c>
      <c r="AD75" s="20" t="s">
        <v>122</v>
      </c>
      <c r="AE75" s="20" t="s">
        <v>122</v>
      </c>
      <c r="AF75" s="21" t="s">
        <v>122</v>
      </c>
      <c r="AG75" s="27"/>
      <c r="AH75" s="5"/>
      <c r="AI75" s="6" t="s">
        <v>122</v>
      </c>
      <c r="AJ75" s="1"/>
      <c r="AQ75" s="2" t="s">
        <v>83</v>
      </c>
    </row>
    <row r="76" spans="2:43" ht="42.75" customHeight="1" thickBot="1" x14ac:dyDescent="0.25">
      <c r="B76" s="3" t="s">
        <v>127</v>
      </c>
      <c r="C76" s="5"/>
      <c r="D76" s="4" t="s">
        <v>111</v>
      </c>
      <c r="E76" s="5" t="s">
        <v>128</v>
      </c>
      <c r="F76" s="169" t="s">
        <v>548</v>
      </c>
      <c r="G76" s="546" t="s">
        <v>350</v>
      </c>
      <c r="H76" s="5" t="s">
        <v>51</v>
      </c>
      <c r="I76" s="5"/>
      <c r="J76" s="5"/>
      <c r="K76" s="5" t="s">
        <v>68</v>
      </c>
      <c r="L76" s="5" t="s">
        <v>76</v>
      </c>
      <c r="M76" s="606">
        <f>+'[10]PROYEC GASTOS GERENCIA'!$AG$44</f>
        <v>2035263003</v>
      </c>
      <c r="N76" s="5"/>
      <c r="O76" s="5" t="s">
        <v>99</v>
      </c>
      <c r="P76" s="5"/>
      <c r="Q76" s="20" t="s">
        <v>122</v>
      </c>
      <c r="R76" s="20" t="s">
        <v>122</v>
      </c>
      <c r="S76" s="20" t="s">
        <v>122</v>
      </c>
      <c r="T76" s="20" t="s">
        <v>122</v>
      </c>
      <c r="U76" s="20" t="s">
        <v>122</v>
      </c>
      <c r="V76" s="20" t="s">
        <v>122</v>
      </c>
      <c r="W76" s="20" t="s">
        <v>122</v>
      </c>
      <c r="X76" s="20" t="s">
        <v>122</v>
      </c>
      <c r="Y76" s="20" t="s">
        <v>122</v>
      </c>
      <c r="Z76" s="20" t="s">
        <v>122</v>
      </c>
      <c r="AA76" s="20" t="s">
        <v>122</v>
      </c>
      <c r="AB76" s="20" t="s">
        <v>122</v>
      </c>
      <c r="AC76" s="20" t="s">
        <v>122</v>
      </c>
      <c r="AD76" s="20" t="s">
        <v>122</v>
      </c>
      <c r="AE76" s="20" t="s">
        <v>122</v>
      </c>
      <c r="AF76" s="21" t="s">
        <v>122</v>
      </c>
      <c r="AG76" s="27"/>
      <c r="AH76" s="5"/>
      <c r="AI76" s="6" t="s">
        <v>122</v>
      </c>
      <c r="AJ76" s="1"/>
      <c r="AQ76" s="2" t="s">
        <v>52</v>
      </c>
    </row>
    <row r="77" spans="2:43" ht="42.75" customHeight="1" thickBot="1" x14ac:dyDescent="0.25">
      <c r="B77" s="3" t="s">
        <v>127</v>
      </c>
      <c r="C77" s="5"/>
      <c r="D77" s="4" t="s">
        <v>111</v>
      </c>
      <c r="E77" s="5" t="s">
        <v>128</v>
      </c>
      <c r="F77" s="169" t="s">
        <v>553</v>
      </c>
      <c r="G77" s="546" t="s">
        <v>350</v>
      </c>
      <c r="H77" s="5" t="s">
        <v>51</v>
      </c>
      <c r="I77" s="5"/>
      <c r="J77" s="5"/>
      <c r="K77" s="5" t="s">
        <v>68</v>
      </c>
      <c r="L77" s="5" t="s">
        <v>76</v>
      </c>
      <c r="M77" s="606">
        <f>+'[10]PROYEC GASTOS GERENCIA'!$AG$48-M67+250000000</f>
        <v>593466275.58999991</v>
      </c>
      <c r="N77" s="5"/>
      <c r="O77" s="5" t="s">
        <v>99</v>
      </c>
      <c r="P77" s="5"/>
      <c r="Q77" s="20" t="s">
        <v>122</v>
      </c>
      <c r="R77" s="20" t="s">
        <v>122</v>
      </c>
      <c r="S77" s="20" t="s">
        <v>122</v>
      </c>
      <c r="T77" s="20" t="s">
        <v>122</v>
      </c>
      <c r="U77" s="20" t="s">
        <v>122</v>
      </c>
      <c r="V77" s="20" t="s">
        <v>122</v>
      </c>
      <c r="W77" s="20" t="s">
        <v>122</v>
      </c>
      <c r="X77" s="20" t="s">
        <v>122</v>
      </c>
      <c r="Y77" s="20" t="s">
        <v>122</v>
      </c>
      <c r="Z77" s="20" t="s">
        <v>122</v>
      </c>
      <c r="AA77" s="20" t="s">
        <v>122</v>
      </c>
      <c r="AB77" s="20" t="s">
        <v>122</v>
      </c>
      <c r="AC77" s="20" t="s">
        <v>122</v>
      </c>
      <c r="AD77" s="20" t="s">
        <v>122</v>
      </c>
      <c r="AE77" s="20" t="s">
        <v>122</v>
      </c>
      <c r="AF77" s="21" t="s">
        <v>122</v>
      </c>
      <c r="AG77" s="27"/>
      <c r="AH77" s="5"/>
      <c r="AI77" s="6" t="s">
        <v>122</v>
      </c>
      <c r="AJ77" s="1"/>
      <c r="AQ77" s="14"/>
    </row>
    <row r="78" spans="2:43" ht="26.25" customHeight="1" thickBot="1" x14ac:dyDescent="0.25">
      <c r="B78" s="3" t="s">
        <v>127</v>
      </c>
      <c r="C78" s="372"/>
      <c r="D78" s="372" t="s">
        <v>534</v>
      </c>
      <c r="E78" s="5" t="s">
        <v>128</v>
      </c>
      <c r="F78" s="377" t="s">
        <v>549</v>
      </c>
      <c r="G78" s="546" t="s">
        <v>350</v>
      </c>
      <c r="H78" s="5" t="s">
        <v>51</v>
      </c>
      <c r="I78" s="373"/>
      <c r="J78" s="373"/>
      <c r="K78" s="5" t="s">
        <v>68</v>
      </c>
      <c r="L78" s="5" t="s">
        <v>76</v>
      </c>
      <c r="M78" s="606">
        <f>+'[10]PROYEC GASTOS GERENCIA'!$AG$45</f>
        <v>418979125</v>
      </c>
      <c r="N78" s="373"/>
      <c r="O78" s="373"/>
      <c r="P78" s="373"/>
      <c r="Q78" s="374"/>
      <c r="R78" s="374"/>
      <c r="S78" s="374"/>
      <c r="T78" s="374"/>
      <c r="U78" s="374"/>
      <c r="V78" s="374"/>
      <c r="W78" s="374"/>
      <c r="X78" s="374"/>
      <c r="Y78" s="374"/>
      <c r="Z78" s="374"/>
      <c r="AA78" s="374"/>
      <c r="AB78" s="374"/>
      <c r="AC78" s="374"/>
      <c r="AD78" s="374"/>
      <c r="AE78" s="374"/>
      <c r="AF78" s="375"/>
      <c r="AG78" s="376"/>
      <c r="AH78" s="373"/>
      <c r="AI78" s="378"/>
      <c r="AJ78" s="1"/>
      <c r="AQ78" s="14"/>
    </row>
    <row r="79" spans="2:43" ht="51.75" customHeight="1" thickBot="1" x14ac:dyDescent="0.25">
      <c r="B79" s="7" t="s">
        <v>127</v>
      </c>
      <c r="C79" s="8"/>
      <c r="D79" s="8" t="s">
        <v>534</v>
      </c>
      <c r="E79" s="9" t="s">
        <v>128</v>
      </c>
      <c r="F79" s="9" t="s">
        <v>535</v>
      </c>
      <c r="G79" s="547" t="s">
        <v>350</v>
      </c>
      <c r="H79" s="9" t="s">
        <v>51</v>
      </c>
      <c r="I79" s="9"/>
      <c r="J79" s="9"/>
      <c r="K79" s="5" t="s">
        <v>68</v>
      </c>
      <c r="L79" s="5" t="s">
        <v>76</v>
      </c>
      <c r="M79" s="606">
        <f>+'[10]PROYEC GASTOS GERENCIA'!$AG$46</f>
        <v>232069945</v>
      </c>
      <c r="N79" s="9"/>
      <c r="O79" s="9"/>
      <c r="P79" s="9"/>
      <c r="Q79" s="9"/>
      <c r="R79" s="9"/>
      <c r="S79" s="9"/>
      <c r="T79" s="9"/>
      <c r="U79" s="9"/>
      <c r="V79" s="9"/>
      <c r="W79" s="9"/>
      <c r="X79" s="9"/>
      <c r="Y79" s="9"/>
      <c r="Z79" s="9"/>
      <c r="AA79" s="9"/>
      <c r="AB79" s="9"/>
      <c r="AC79" s="9"/>
      <c r="AD79" s="9"/>
      <c r="AE79" s="9"/>
      <c r="AF79" s="9"/>
      <c r="AG79" s="9"/>
      <c r="AH79" s="9"/>
      <c r="AI79" s="10"/>
      <c r="AO79" s="2" t="s">
        <v>53</v>
      </c>
    </row>
    <row r="80" spans="2:43" ht="13.5" thickBot="1" x14ac:dyDescent="0.25">
      <c r="M80" s="535">
        <f>SUM(M75:M79)</f>
        <v>19650985198.509769</v>
      </c>
      <c r="AO80" s="2" t="s">
        <v>54</v>
      </c>
    </row>
    <row r="81" spans="2:43" ht="15.75" customHeight="1" x14ac:dyDescent="0.2">
      <c r="B81" s="849" t="s">
        <v>88</v>
      </c>
      <c r="C81" s="850"/>
      <c r="D81" s="850"/>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2"/>
      <c r="AO81" s="2" t="s">
        <v>55</v>
      </c>
    </row>
    <row r="82" spans="2:43" ht="20.25" customHeight="1" x14ac:dyDescent="0.2">
      <c r="B82" s="843" t="s">
        <v>2</v>
      </c>
      <c r="C82" s="839" t="s">
        <v>472</v>
      </c>
      <c r="D82" s="839" t="s">
        <v>108</v>
      </c>
      <c r="E82" s="834" t="s">
        <v>87</v>
      </c>
      <c r="F82" s="834" t="s">
        <v>3</v>
      </c>
      <c r="G82" s="834" t="s">
        <v>4</v>
      </c>
      <c r="H82" s="839" t="s">
        <v>138</v>
      </c>
      <c r="I82" s="834" t="s">
        <v>5</v>
      </c>
      <c r="J82" s="839" t="s">
        <v>93</v>
      </c>
      <c r="K82" s="834" t="s">
        <v>134</v>
      </c>
      <c r="L82" s="834" t="s">
        <v>139</v>
      </c>
      <c r="M82" s="834" t="s">
        <v>6</v>
      </c>
      <c r="N82" s="834" t="s">
        <v>102</v>
      </c>
      <c r="O82" s="839" t="s">
        <v>136</v>
      </c>
      <c r="P82" s="834" t="s">
        <v>137</v>
      </c>
      <c r="Q82" s="834" t="s">
        <v>7</v>
      </c>
      <c r="R82" s="834"/>
      <c r="S82" s="834"/>
      <c r="T82" s="834"/>
      <c r="U82" s="834"/>
      <c r="V82" s="834"/>
      <c r="W82" s="834"/>
      <c r="X82" s="834"/>
      <c r="Y82" s="834"/>
      <c r="Z82" s="834"/>
      <c r="AA82" s="834"/>
      <c r="AB82" s="834"/>
      <c r="AC82" s="834"/>
      <c r="AD82" s="834"/>
      <c r="AE82" s="834"/>
      <c r="AF82" s="834"/>
      <c r="AG82" s="834" t="s">
        <v>8</v>
      </c>
      <c r="AH82" s="834" t="s">
        <v>9</v>
      </c>
      <c r="AI82" s="847" t="s">
        <v>0</v>
      </c>
    </row>
    <row r="83" spans="2:43" ht="34.5" customHeight="1" x14ac:dyDescent="0.2">
      <c r="B83" s="843"/>
      <c r="C83" s="845"/>
      <c r="D83" s="845"/>
      <c r="E83" s="834"/>
      <c r="F83" s="834"/>
      <c r="G83" s="834"/>
      <c r="H83" s="845"/>
      <c r="I83" s="834"/>
      <c r="J83" s="845"/>
      <c r="K83" s="834"/>
      <c r="L83" s="834"/>
      <c r="M83" s="834"/>
      <c r="N83" s="834"/>
      <c r="O83" s="845"/>
      <c r="P83" s="834"/>
      <c r="Q83" s="834" t="s">
        <v>10</v>
      </c>
      <c r="R83" s="834"/>
      <c r="S83" s="834" t="s">
        <v>11</v>
      </c>
      <c r="T83" s="834"/>
      <c r="U83" s="834" t="s">
        <v>12</v>
      </c>
      <c r="V83" s="834"/>
      <c r="W83" s="834" t="s">
        <v>13</v>
      </c>
      <c r="X83" s="834"/>
      <c r="Y83" s="834" t="s">
        <v>14</v>
      </c>
      <c r="Z83" s="834"/>
      <c r="AA83" s="834" t="s">
        <v>15</v>
      </c>
      <c r="AB83" s="834"/>
      <c r="AC83" s="834" t="s">
        <v>16</v>
      </c>
      <c r="AD83" s="834"/>
      <c r="AE83" s="834" t="s">
        <v>17</v>
      </c>
      <c r="AF83" s="834"/>
      <c r="AG83" s="834"/>
      <c r="AH83" s="834"/>
      <c r="AI83" s="847"/>
    </row>
    <row r="84" spans="2:43" ht="26.25" customHeight="1" thickBot="1" x14ac:dyDescent="0.25">
      <c r="B84" s="843"/>
      <c r="C84" s="846"/>
      <c r="D84" s="846"/>
      <c r="E84" s="834"/>
      <c r="F84" s="834"/>
      <c r="G84" s="834"/>
      <c r="H84" s="846"/>
      <c r="I84" s="834"/>
      <c r="J84" s="846"/>
      <c r="K84" s="834"/>
      <c r="L84" s="834"/>
      <c r="M84" s="834"/>
      <c r="N84" s="834"/>
      <c r="O84" s="846"/>
      <c r="P84" s="834"/>
      <c r="Q84" s="19" t="s">
        <v>18</v>
      </c>
      <c r="R84" s="19" t="s">
        <v>19</v>
      </c>
      <c r="S84" s="19" t="s">
        <v>18</v>
      </c>
      <c r="T84" s="19" t="s">
        <v>19</v>
      </c>
      <c r="U84" s="19" t="s">
        <v>18</v>
      </c>
      <c r="V84" s="19" t="s">
        <v>19</v>
      </c>
      <c r="W84" s="19" t="s">
        <v>18</v>
      </c>
      <c r="X84" s="19" t="s">
        <v>19</v>
      </c>
      <c r="Y84" s="19" t="s">
        <v>18</v>
      </c>
      <c r="Z84" s="19" t="s">
        <v>19</v>
      </c>
      <c r="AA84" s="19" t="s">
        <v>18</v>
      </c>
      <c r="AB84" s="19" t="s">
        <v>19</v>
      </c>
      <c r="AC84" s="19" t="s">
        <v>18</v>
      </c>
      <c r="AD84" s="19" t="s">
        <v>19</v>
      </c>
      <c r="AE84" s="19" t="s">
        <v>18</v>
      </c>
      <c r="AF84" s="19" t="s">
        <v>19</v>
      </c>
      <c r="AG84" s="834"/>
      <c r="AH84" s="834"/>
      <c r="AI84" s="847"/>
    </row>
    <row r="85" spans="2:43" ht="54.75" customHeight="1" thickBot="1" x14ac:dyDescent="0.25">
      <c r="B85" s="3" t="s">
        <v>127</v>
      </c>
      <c r="C85" s="5"/>
      <c r="D85" s="4" t="s">
        <v>111</v>
      </c>
      <c r="E85" s="5" t="s">
        <v>128</v>
      </c>
      <c r="F85" s="246" t="s">
        <v>347</v>
      </c>
      <c r="G85" s="546" t="s">
        <v>350</v>
      </c>
      <c r="H85" s="5" t="s">
        <v>51</v>
      </c>
      <c r="I85" s="5"/>
      <c r="J85" s="5"/>
      <c r="K85" s="5" t="s">
        <v>68</v>
      </c>
      <c r="L85" s="5" t="s">
        <v>76</v>
      </c>
      <c r="M85" s="606">
        <f>+'[10]PROYEC GASTOS GERENCIA'!$AG$47</f>
        <v>1185183250</v>
      </c>
      <c r="N85" s="5"/>
      <c r="O85" s="5" t="s">
        <v>99</v>
      </c>
      <c r="P85" s="5"/>
      <c r="Q85" s="20" t="s">
        <v>122</v>
      </c>
      <c r="R85" s="20" t="s">
        <v>122</v>
      </c>
      <c r="S85" s="20" t="s">
        <v>122</v>
      </c>
      <c r="T85" s="20" t="s">
        <v>122</v>
      </c>
      <c r="U85" s="20" t="s">
        <v>122</v>
      </c>
      <c r="V85" s="20" t="s">
        <v>122</v>
      </c>
      <c r="W85" s="20" t="s">
        <v>122</v>
      </c>
      <c r="X85" s="20" t="s">
        <v>122</v>
      </c>
      <c r="Y85" s="20" t="s">
        <v>122</v>
      </c>
      <c r="Z85" s="20" t="s">
        <v>122</v>
      </c>
      <c r="AA85" s="20" t="s">
        <v>122</v>
      </c>
      <c r="AB85" s="20" t="s">
        <v>122</v>
      </c>
      <c r="AC85" s="20" t="s">
        <v>122</v>
      </c>
      <c r="AD85" s="20" t="s">
        <v>122</v>
      </c>
      <c r="AE85" s="20" t="s">
        <v>122</v>
      </c>
      <c r="AF85" s="21" t="s">
        <v>122</v>
      </c>
      <c r="AG85" s="27"/>
      <c r="AH85" s="5"/>
      <c r="AI85" s="31" t="s">
        <v>122</v>
      </c>
      <c r="AJ85" s="1"/>
      <c r="AQ85" s="2" t="s">
        <v>51</v>
      </c>
    </row>
    <row r="86" spans="2:43" ht="39" thickBot="1" x14ac:dyDescent="0.25">
      <c r="B86" s="3" t="s">
        <v>127</v>
      </c>
      <c r="C86" s="4"/>
      <c r="D86" s="4" t="s">
        <v>111</v>
      </c>
      <c r="E86" s="5" t="s">
        <v>128</v>
      </c>
      <c r="F86" s="5" t="s">
        <v>546</v>
      </c>
      <c r="G86" s="546" t="s">
        <v>350</v>
      </c>
      <c r="H86" s="5"/>
      <c r="I86" s="5"/>
      <c r="J86" s="5"/>
      <c r="K86" s="5"/>
      <c r="L86" s="5"/>
      <c r="M86" s="606">
        <f>+'[10]PROYEC GASTOS GERENCIA'!$AG$56</f>
        <v>199195234.62937501</v>
      </c>
      <c r="N86" s="5"/>
      <c r="O86" s="5"/>
      <c r="P86" s="5"/>
      <c r="Q86" s="5"/>
      <c r="R86" s="5"/>
      <c r="S86" s="5"/>
      <c r="T86" s="5"/>
      <c r="U86" s="5"/>
      <c r="V86" s="5"/>
      <c r="W86" s="5"/>
      <c r="X86" s="5"/>
      <c r="Y86" s="5"/>
      <c r="Z86" s="5"/>
      <c r="AA86" s="5"/>
      <c r="AB86" s="5"/>
      <c r="AC86" s="5"/>
      <c r="AD86" s="5"/>
      <c r="AE86" s="5"/>
      <c r="AF86" s="5"/>
      <c r="AG86" s="5"/>
      <c r="AH86" s="5"/>
      <c r="AI86" s="6"/>
      <c r="AO86" s="2" t="s">
        <v>51</v>
      </c>
    </row>
    <row r="87" spans="2:43" x14ac:dyDescent="0.2">
      <c r="B87" s="3"/>
      <c r="C87" s="4"/>
      <c r="D87" s="4"/>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6"/>
      <c r="AO87" s="15" t="s">
        <v>56</v>
      </c>
    </row>
    <row r="88" spans="2:43" x14ac:dyDescent="0.2">
      <c r="B88" s="3"/>
      <c r="C88" s="4"/>
      <c r="D88" s="4"/>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6"/>
      <c r="AO88" s="15" t="s">
        <v>97</v>
      </c>
    </row>
    <row r="89" spans="2:43" ht="13.5" thickBot="1" x14ac:dyDescent="0.25">
      <c r="B89" s="7"/>
      <c r="C89" s="8"/>
      <c r="D89" s="8"/>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10"/>
      <c r="AO89" s="15" t="s">
        <v>57</v>
      </c>
    </row>
    <row r="90" spans="2:43" ht="13.5" thickBot="1" x14ac:dyDescent="0.25">
      <c r="M90" s="1">
        <v>1.05</v>
      </c>
      <c r="AO90" s="16" t="s">
        <v>58</v>
      </c>
    </row>
    <row r="91" spans="2:43" ht="15.75" customHeight="1" x14ac:dyDescent="0.2">
      <c r="B91" s="835" t="s">
        <v>89</v>
      </c>
      <c r="C91" s="836"/>
      <c r="D91" s="836"/>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c r="AJ91" s="837"/>
      <c r="AK91" s="837"/>
      <c r="AL91" s="837"/>
      <c r="AM91" s="837"/>
      <c r="AN91" s="838"/>
      <c r="AO91" s="16" t="s">
        <v>59</v>
      </c>
    </row>
    <row r="92" spans="2:43" ht="12.75" customHeight="1" x14ac:dyDescent="0.2">
      <c r="B92" s="843" t="s">
        <v>2</v>
      </c>
      <c r="C92" s="839" t="s">
        <v>472</v>
      </c>
      <c r="D92" s="839" t="s">
        <v>108</v>
      </c>
      <c r="E92" s="834" t="s">
        <v>87</v>
      </c>
      <c r="F92" s="834" t="s">
        <v>3</v>
      </c>
      <c r="G92" s="834" t="s">
        <v>4</v>
      </c>
      <c r="H92" s="839" t="s">
        <v>138</v>
      </c>
      <c r="I92" s="834" t="s">
        <v>93</v>
      </c>
      <c r="J92" s="834" t="s">
        <v>134</v>
      </c>
      <c r="K92" s="834" t="s">
        <v>139</v>
      </c>
      <c r="L92" s="834" t="s">
        <v>6</v>
      </c>
      <c r="M92" s="834" t="s">
        <v>102</v>
      </c>
      <c r="N92" s="839" t="s">
        <v>136</v>
      </c>
      <c r="O92" s="834" t="s">
        <v>137</v>
      </c>
      <c r="P92" s="834" t="s">
        <v>7</v>
      </c>
      <c r="Q92" s="834"/>
      <c r="R92" s="834"/>
      <c r="S92" s="834"/>
      <c r="T92" s="834"/>
      <c r="U92" s="834"/>
      <c r="V92" s="834"/>
      <c r="W92" s="834"/>
      <c r="X92" s="834"/>
      <c r="Y92" s="834"/>
      <c r="Z92" s="834"/>
      <c r="AA92" s="834"/>
      <c r="AB92" s="834"/>
      <c r="AC92" s="834"/>
      <c r="AD92" s="834"/>
      <c r="AE92" s="834"/>
      <c r="AF92" s="834"/>
      <c r="AG92" s="834"/>
      <c r="AH92" s="834"/>
      <c r="AI92" s="834"/>
      <c r="AJ92" s="834" t="s">
        <v>22</v>
      </c>
      <c r="AK92" s="834" t="s">
        <v>23</v>
      </c>
      <c r="AL92" s="834" t="s">
        <v>24</v>
      </c>
      <c r="AM92" s="834" t="s">
        <v>25</v>
      </c>
      <c r="AN92" s="847" t="s">
        <v>0</v>
      </c>
    </row>
    <row r="93" spans="2:43" ht="36" customHeight="1" x14ac:dyDescent="0.2">
      <c r="B93" s="843"/>
      <c r="C93" s="845"/>
      <c r="D93" s="845"/>
      <c r="E93" s="834"/>
      <c r="F93" s="834"/>
      <c r="G93" s="834"/>
      <c r="H93" s="845"/>
      <c r="I93" s="834"/>
      <c r="J93" s="834"/>
      <c r="K93" s="834"/>
      <c r="L93" s="834"/>
      <c r="M93" s="834"/>
      <c r="N93" s="845"/>
      <c r="O93" s="834"/>
      <c r="P93" s="834" t="s">
        <v>26</v>
      </c>
      <c r="Q93" s="834"/>
      <c r="R93" s="834" t="s">
        <v>94</v>
      </c>
      <c r="S93" s="834"/>
      <c r="T93" s="834" t="s">
        <v>95</v>
      </c>
      <c r="U93" s="834"/>
      <c r="V93" s="834" t="s">
        <v>96</v>
      </c>
      <c r="W93" s="834"/>
      <c r="X93" s="834" t="s">
        <v>13</v>
      </c>
      <c r="Y93" s="834"/>
      <c r="Z93" s="834" t="s">
        <v>27</v>
      </c>
      <c r="AA93" s="834"/>
      <c r="AB93" s="834" t="s">
        <v>28</v>
      </c>
      <c r="AC93" s="834"/>
      <c r="AD93" s="834" t="s">
        <v>29</v>
      </c>
      <c r="AE93" s="834"/>
      <c r="AF93" s="834" t="s">
        <v>30</v>
      </c>
      <c r="AG93" s="834"/>
      <c r="AH93" s="834" t="s">
        <v>16</v>
      </c>
      <c r="AI93" s="834"/>
      <c r="AJ93" s="834"/>
      <c r="AK93" s="834"/>
      <c r="AL93" s="834"/>
      <c r="AM93" s="834"/>
      <c r="AN93" s="847"/>
    </row>
    <row r="94" spans="2:43" ht="23.25" customHeight="1" thickBot="1" x14ac:dyDescent="0.25">
      <c r="B94" s="844"/>
      <c r="C94" s="845"/>
      <c r="D94" s="845"/>
      <c r="E94" s="839"/>
      <c r="F94" s="839"/>
      <c r="G94" s="839"/>
      <c r="H94" s="845"/>
      <c r="I94" s="839"/>
      <c r="J94" s="839"/>
      <c r="K94" s="839"/>
      <c r="L94" s="839"/>
      <c r="M94" s="839"/>
      <c r="N94" s="845"/>
      <c r="O94" s="839"/>
      <c r="P94" s="18" t="s">
        <v>18</v>
      </c>
      <c r="Q94" s="18" t="s">
        <v>19</v>
      </c>
      <c r="R94" s="18" t="s">
        <v>18</v>
      </c>
      <c r="S94" s="18" t="s">
        <v>19</v>
      </c>
      <c r="T94" s="18" t="s">
        <v>18</v>
      </c>
      <c r="U94" s="18" t="s">
        <v>19</v>
      </c>
      <c r="V94" s="18" t="s">
        <v>18</v>
      </c>
      <c r="W94" s="18" t="s">
        <v>19</v>
      </c>
      <c r="X94" s="18" t="s">
        <v>18</v>
      </c>
      <c r="Y94" s="18" t="s">
        <v>19</v>
      </c>
      <c r="Z94" s="18" t="s">
        <v>18</v>
      </c>
      <c r="AA94" s="18" t="s">
        <v>19</v>
      </c>
      <c r="AB94" s="18" t="s">
        <v>18</v>
      </c>
      <c r="AC94" s="18" t="s">
        <v>19</v>
      </c>
      <c r="AD94" s="18" t="s">
        <v>18</v>
      </c>
      <c r="AE94" s="18" t="s">
        <v>19</v>
      </c>
      <c r="AF94" s="18" t="s">
        <v>18</v>
      </c>
      <c r="AG94" s="18" t="s">
        <v>19</v>
      </c>
      <c r="AH94" s="18" t="s">
        <v>18</v>
      </c>
      <c r="AI94" s="18" t="s">
        <v>19</v>
      </c>
      <c r="AJ94" s="839"/>
      <c r="AK94" s="839"/>
      <c r="AL94" s="839"/>
      <c r="AM94" s="839"/>
      <c r="AN94" s="848"/>
    </row>
    <row r="95" spans="2:43" ht="90" thickBot="1" x14ac:dyDescent="0.25">
      <c r="B95" s="189" t="s">
        <v>127</v>
      </c>
      <c r="C95" s="197"/>
      <c r="D95" s="197" t="s">
        <v>111</v>
      </c>
      <c r="E95" s="190" t="s">
        <v>128</v>
      </c>
      <c r="F95" s="191" t="s">
        <v>473</v>
      </c>
      <c r="G95" s="192" t="s">
        <v>157</v>
      </c>
      <c r="H95" s="190"/>
      <c r="I95" s="190" t="s">
        <v>142</v>
      </c>
      <c r="J95" s="190"/>
      <c r="K95" s="190"/>
      <c r="L95" s="613">
        <v>212415952</v>
      </c>
      <c r="M95" s="190"/>
      <c r="N95" s="190"/>
      <c r="O95" s="194"/>
      <c r="P95" s="793" t="s">
        <v>122</v>
      </c>
      <c r="Q95" s="783">
        <v>40596</v>
      </c>
      <c r="R95" s="783" t="s">
        <v>122</v>
      </c>
      <c r="S95" s="783" t="s">
        <v>122</v>
      </c>
      <c r="T95" s="783" t="s">
        <v>122</v>
      </c>
      <c r="U95" s="783" t="s">
        <v>122</v>
      </c>
      <c r="V95" s="783" t="s">
        <v>122</v>
      </c>
      <c r="W95" s="783" t="s">
        <v>122</v>
      </c>
      <c r="X95" s="783" t="s">
        <v>122</v>
      </c>
      <c r="Y95" s="783">
        <v>40611</v>
      </c>
      <c r="Z95" s="783" t="s">
        <v>122</v>
      </c>
      <c r="AA95" s="783">
        <v>40618</v>
      </c>
      <c r="AB95" s="783" t="s">
        <v>122</v>
      </c>
      <c r="AC95" s="783" t="s">
        <v>122</v>
      </c>
      <c r="AD95" s="783" t="s">
        <v>122</v>
      </c>
      <c r="AE95" s="783">
        <v>40620</v>
      </c>
      <c r="AF95" s="783" t="s">
        <v>122</v>
      </c>
      <c r="AG95" s="772" t="s">
        <v>122</v>
      </c>
      <c r="AH95" s="772" t="s">
        <v>122</v>
      </c>
      <c r="AI95" s="487">
        <v>40632</v>
      </c>
      <c r="AJ95" s="218" t="s">
        <v>474</v>
      </c>
      <c r="AK95" s="772">
        <v>1000</v>
      </c>
      <c r="AL95" s="794">
        <f t="shared" ref="AL95" si="14">+L95</f>
        <v>212415952</v>
      </c>
      <c r="AM95" s="772">
        <f t="shared" ref="AM95:AM103" si="15">+AK95</f>
        <v>1000</v>
      </c>
      <c r="AN95" s="795" t="s">
        <v>448</v>
      </c>
      <c r="AO95" s="11" t="s">
        <v>75</v>
      </c>
      <c r="AP95" s="12" t="s">
        <v>60</v>
      </c>
    </row>
    <row r="96" spans="2:43" ht="115.5" thickBot="1" x14ac:dyDescent="0.25">
      <c r="B96" s="189" t="s">
        <v>127</v>
      </c>
      <c r="C96" s="197"/>
      <c r="D96" s="197" t="s">
        <v>111</v>
      </c>
      <c r="E96" s="190" t="s">
        <v>128</v>
      </c>
      <c r="F96" s="191" t="s">
        <v>475</v>
      </c>
      <c r="G96" s="192" t="str">
        <f>+CONCATENATE(G8,"-",G7)</f>
        <v>5-125-126-127-128-129-130</v>
      </c>
      <c r="H96" s="190"/>
      <c r="I96" s="190" t="s">
        <v>141</v>
      </c>
      <c r="J96" s="190"/>
      <c r="K96" s="190"/>
      <c r="L96" s="193">
        <f>809976960+93458800</f>
        <v>903435760</v>
      </c>
      <c r="M96" s="521"/>
      <c r="N96" s="190"/>
      <c r="O96" s="194"/>
      <c r="P96" s="793" t="s">
        <v>122</v>
      </c>
      <c r="Q96" s="783">
        <v>40665</v>
      </c>
      <c r="R96" s="783" t="s">
        <v>122</v>
      </c>
      <c r="S96" s="783" t="s">
        <v>122</v>
      </c>
      <c r="T96" s="783" t="s">
        <v>122</v>
      </c>
      <c r="U96" s="783" t="s">
        <v>122</v>
      </c>
      <c r="V96" s="783" t="s">
        <v>122</v>
      </c>
      <c r="W96" s="783" t="s">
        <v>122</v>
      </c>
      <c r="X96" s="783">
        <v>40696</v>
      </c>
      <c r="Y96" s="783">
        <v>40696</v>
      </c>
      <c r="Z96" s="783" t="s">
        <v>122</v>
      </c>
      <c r="AA96" s="783">
        <v>40707</v>
      </c>
      <c r="AB96" s="783" t="s">
        <v>122</v>
      </c>
      <c r="AC96" s="783" t="s">
        <v>122</v>
      </c>
      <c r="AD96" s="783" t="s">
        <v>122</v>
      </c>
      <c r="AE96" s="783">
        <v>40712</v>
      </c>
      <c r="AF96" s="783" t="s">
        <v>122</v>
      </c>
      <c r="AG96" s="772" t="s">
        <v>122</v>
      </c>
      <c r="AH96" s="772" t="s">
        <v>122</v>
      </c>
      <c r="AI96" s="487">
        <v>40722</v>
      </c>
      <c r="AJ96" s="218" t="s">
        <v>140</v>
      </c>
      <c r="AK96" s="772">
        <v>985</v>
      </c>
      <c r="AL96" s="794">
        <v>809976960</v>
      </c>
      <c r="AM96" s="772">
        <f t="shared" si="15"/>
        <v>985</v>
      </c>
      <c r="AN96" s="795" t="s">
        <v>448</v>
      </c>
      <c r="AO96" s="11"/>
      <c r="AP96" s="12"/>
    </row>
    <row r="97" spans="2:42" ht="141" thickBot="1" x14ac:dyDescent="0.25">
      <c r="B97" s="189" t="s">
        <v>127</v>
      </c>
      <c r="C97" s="197"/>
      <c r="D97" s="197" t="s">
        <v>111</v>
      </c>
      <c r="E97" s="190" t="s">
        <v>128</v>
      </c>
      <c r="F97" s="191" t="s">
        <v>476</v>
      </c>
      <c r="G97" s="192" t="s">
        <v>161</v>
      </c>
      <c r="H97" s="190"/>
      <c r="I97" s="190" t="s">
        <v>143</v>
      </c>
      <c r="J97" s="190"/>
      <c r="K97" s="190"/>
      <c r="L97" s="193">
        <v>183000000</v>
      </c>
      <c r="M97" s="521"/>
      <c r="N97" s="190"/>
      <c r="O97" s="194"/>
      <c r="P97" s="793" t="s">
        <v>122</v>
      </c>
      <c r="Q97" s="783">
        <v>40815</v>
      </c>
      <c r="R97" s="783" t="s">
        <v>122</v>
      </c>
      <c r="S97" s="783" t="s">
        <v>122</v>
      </c>
      <c r="T97" s="783" t="s">
        <v>122</v>
      </c>
      <c r="U97" s="783" t="s">
        <v>122</v>
      </c>
      <c r="V97" s="783" t="s">
        <v>122</v>
      </c>
      <c r="W97" s="783" t="s">
        <v>122</v>
      </c>
      <c r="X97" s="783" t="s">
        <v>122</v>
      </c>
      <c r="Y97" s="783">
        <v>40829</v>
      </c>
      <c r="Z97" s="783" t="s">
        <v>122</v>
      </c>
      <c r="AA97" s="783">
        <v>40837</v>
      </c>
      <c r="AB97" s="783" t="s">
        <v>122</v>
      </c>
      <c r="AC97" s="783" t="s">
        <v>122</v>
      </c>
      <c r="AD97" s="783" t="s">
        <v>122</v>
      </c>
      <c r="AE97" s="783">
        <v>40837</v>
      </c>
      <c r="AF97" s="783" t="s">
        <v>122</v>
      </c>
      <c r="AG97" s="772" t="s">
        <v>122</v>
      </c>
      <c r="AH97" s="772" t="s">
        <v>122</v>
      </c>
      <c r="AI97" s="487">
        <v>40855</v>
      </c>
      <c r="AJ97" s="218" t="s">
        <v>146</v>
      </c>
      <c r="AK97" s="772">
        <v>975</v>
      </c>
      <c r="AL97" s="794">
        <v>183000000</v>
      </c>
      <c r="AM97" s="772">
        <f t="shared" si="15"/>
        <v>975</v>
      </c>
      <c r="AN97" s="795" t="s">
        <v>448</v>
      </c>
      <c r="AO97" s="11"/>
      <c r="AP97" s="12"/>
    </row>
    <row r="98" spans="2:42" ht="141" thickBot="1" x14ac:dyDescent="0.25">
      <c r="B98" s="189" t="s">
        <v>127</v>
      </c>
      <c r="C98" s="197"/>
      <c r="D98" s="197" t="s">
        <v>111</v>
      </c>
      <c r="E98" s="190" t="s">
        <v>128</v>
      </c>
      <c r="F98" s="191" t="s">
        <v>477</v>
      </c>
      <c r="G98" s="192" t="s">
        <v>162</v>
      </c>
      <c r="H98" s="190"/>
      <c r="I98" s="190" t="s">
        <v>144</v>
      </c>
      <c r="J98" s="190"/>
      <c r="K98" s="190"/>
      <c r="L98" s="193">
        <f>329996916+(329996916/9)</f>
        <v>366663240</v>
      </c>
      <c r="M98" s="190"/>
      <c r="N98" s="190"/>
      <c r="O98" s="194"/>
      <c r="P98" s="793" t="s">
        <v>122</v>
      </c>
      <c r="Q98" s="783">
        <v>40800</v>
      </c>
      <c r="R98" s="783" t="s">
        <v>122</v>
      </c>
      <c r="S98" s="783" t="s">
        <v>122</v>
      </c>
      <c r="T98" s="783" t="s">
        <v>122</v>
      </c>
      <c r="U98" s="783" t="s">
        <v>122</v>
      </c>
      <c r="V98" s="783" t="s">
        <v>122</v>
      </c>
      <c r="W98" s="783">
        <v>40820</v>
      </c>
      <c r="X98" s="783" t="s">
        <v>122</v>
      </c>
      <c r="Y98" s="783">
        <v>40820</v>
      </c>
      <c r="Z98" s="783" t="s">
        <v>122</v>
      </c>
      <c r="AA98" s="783">
        <v>37176</v>
      </c>
      <c r="AB98" s="783" t="s">
        <v>122</v>
      </c>
      <c r="AC98" s="783" t="s">
        <v>122</v>
      </c>
      <c r="AD98" s="783" t="s">
        <v>122</v>
      </c>
      <c r="AE98" s="783">
        <v>40889</v>
      </c>
      <c r="AF98" s="783" t="s">
        <v>122</v>
      </c>
      <c r="AG98" s="772" t="s">
        <v>122</v>
      </c>
      <c r="AH98" s="772" t="s">
        <v>122</v>
      </c>
      <c r="AI98" s="487">
        <v>40850</v>
      </c>
      <c r="AJ98" s="218" t="s">
        <v>122</v>
      </c>
      <c r="AK98" s="772">
        <v>1000</v>
      </c>
      <c r="AL98" s="794">
        <v>329996916</v>
      </c>
      <c r="AM98" s="772">
        <f t="shared" si="15"/>
        <v>1000</v>
      </c>
      <c r="AN98" s="795" t="s">
        <v>448</v>
      </c>
      <c r="AO98" s="11"/>
      <c r="AP98" s="12"/>
    </row>
    <row r="99" spans="2:42" ht="166.5" thickBot="1" x14ac:dyDescent="0.25">
      <c r="B99" s="189" t="s">
        <v>127</v>
      </c>
      <c r="C99" s="197"/>
      <c r="D99" s="197" t="s">
        <v>111</v>
      </c>
      <c r="E99" s="190" t="s">
        <v>128</v>
      </c>
      <c r="F99" s="191" t="s">
        <v>478</v>
      </c>
      <c r="G99" s="192" t="s">
        <v>163</v>
      </c>
      <c r="H99" s="190"/>
      <c r="I99" s="190" t="s">
        <v>342</v>
      </c>
      <c r="J99" s="190" t="s">
        <v>106</v>
      </c>
      <c r="K99" s="190"/>
      <c r="L99" s="193">
        <v>572264106</v>
      </c>
      <c r="M99" s="193"/>
      <c r="N99" s="190" t="s">
        <v>99</v>
      </c>
      <c r="O99" s="194" t="s">
        <v>79</v>
      </c>
      <c r="P99" s="793" t="s">
        <v>122</v>
      </c>
      <c r="Q99" s="783" t="s">
        <v>122</v>
      </c>
      <c r="R99" s="783" t="s">
        <v>122</v>
      </c>
      <c r="S99" s="783" t="s">
        <v>122</v>
      </c>
      <c r="T99" s="783" t="s">
        <v>122</v>
      </c>
      <c r="U99" s="783" t="s">
        <v>122</v>
      </c>
      <c r="V99" s="783" t="s">
        <v>122</v>
      </c>
      <c r="W99" s="783" t="s">
        <v>122</v>
      </c>
      <c r="X99" s="783">
        <v>40978</v>
      </c>
      <c r="Y99" s="783">
        <v>41029</v>
      </c>
      <c r="Z99" s="783">
        <v>40993</v>
      </c>
      <c r="AA99" s="783">
        <v>41043</v>
      </c>
      <c r="AB99" s="783" t="s">
        <v>122</v>
      </c>
      <c r="AC99" s="783" t="s">
        <v>122</v>
      </c>
      <c r="AD99" s="783" t="s">
        <v>122</v>
      </c>
      <c r="AE99" s="783">
        <v>41051</v>
      </c>
      <c r="AF99" s="783" t="s">
        <v>122</v>
      </c>
      <c r="AG99" s="783" t="s">
        <v>122</v>
      </c>
      <c r="AH99" s="772" t="s">
        <v>122</v>
      </c>
      <c r="AI99" s="488">
        <v>41057</v>
      </c>
      <c r="AJ99" s="218" t="s">
        <v>344</v>
      </c>
      <c r="AK99" s="772">
        <v>980</v>
      </c>
      <c r="AL99" s="794">
        <v>572264106</v>
      </c>
      <c r="AM99" s="772">
        <f t="shared" si="15"/>
        <v>980</v>
      </c>
      <c r="AN99" s="795" t="s">
        <v>667</v>
      </c>
      <c r="AO99" s="11"/>
      <c r="AP99" s="12"/>
    </row>
    <row r="100" spans="2:42" ht="141" thickBot="1" x14ac:dyDescent="0.25">
      <c r="B100" s="189" t="s">
        <v>127</v>
      </c>
      <c r="C100" s="197"/>
      <c r="D100" s="197" t="s">
        <v>111</v>
      </c>
      <c r="E100" s="190" t="s">
        <v>128</v>
      </c>
      <c r="F100" s="191" t="s">
        <v>479</v>
      </c>
      <c r="G100" s="192" t="str">
        <f>+CONCATENATE(G12,"-",G13)</f>
        <v>91-131-219</v>
      </c>
      <c r="H100" s="190"/>
      <c r="I100" s="190" t="s">
        <v>145</v>
      </c>
      <c r="J100" s="190"/>
      <c r="K100" s="190"/>
      <c r="L100" s="193">
        <f>328372800+70773920</f>
        <v>399146720</v>
      </c>
      <c r="M100" s="521"/>
      <c r="N100" s="190"/>
      <c r="O100" s="194"/>
      <c r="P100" s="793" t="s">
        <v>122</v>
      </c>
      <c r="Q100" s="783" t="s">
        <v>122</v>
      </c>
      <c r="R100" s="783" t="s">
        <v>122</v>
      </c>
      <c r="S100" s="783" t="s">
        <v>122</v>
      </c>
      <c r="T100" s="783" t="s">
        <v>122</v>
      </c>
      <c r="U100" s="783" t="s">
        <v>122</v>
      </c>
      <c r="V100" s="783" t="s">
        <v>122</v>
      </c>
      <c r="W100" s="783" t="s">
        <v>122</v>
      </c>
      <c r="X100" s="783" t="s">
        <v>122</v>
      </c>
      <c r="Y100" s="783">
        <v>40876</v>
      </c>
      <c r="Z100" s="783" t="s">
        <v>122</v>
      </c>
      <c r="AA100" s="783">
        <v>40924</v>
      </c>
      <c r="AB100" s="783" t="s">
        <v>122</v>
      </c>
      <c r="AC100" s="783" t="s">
        <v>122</v>
      </c>
      <c r="AD100" s="783" t="s">
        <v>122</v>
      </c>
      <c r="AE100" s="783">
        <v>40924</v>
      </c>
      <c r="AF100" s="783" t="s">
        <v>122</v>
      </c>
      <c r="AG100" s="772" t="s">
        <v>122</v>
      </c>
      <c r="AH100" s="772" t="s">
        <v>122</v>
      </c>
      <c r="AI100" s="488">
        <v>40939</v>
      </c>
      <c r="AJ100" s="218" t="s">
        <v>480</v>
      </c>
      <c r="AK100" s="772">
        <v>1000</v>
      </c>
      <c r="AL100" s="794">
        <v>328372800</v>
      </c>
      <c r="AM100" s="772">
        <f t="shared" si="15"/>
        <v>1000</v>
      </c>
      <c r="AN100" s="795" t="s">
        <v>448</v>
      </c>
      <c r="AO100" s="11"/>
      <c r="AP100" s="12"/>
    </row>
    <row r="101" spans="2:42" ht="217.5" thickBot="1" x14ac:dyDescent="0.25">
      <c r="B101" s="189" t="s">
        <v>127</v>
      </c>
      <c r="C101" s="197"/>
      <c r="D101" s="197" t="s">
        <v>111</v>
      </c>
      <c r="E101" s="190" t="s">
        <v>128</v>
      </c>
      <c r="F101" s="191" t="s">
        <v>363</v>
      </c>
      <c r="G101" s="192" t="s">
        <v>362</v>
      </c>
      <c r="H101" s="190"/>
      <c r="I101" s="190" t="s">
        <v>659</v>
      </c>
      <c r="J101" s="190" t="s">
        <v>106</v>
      </c>
      <c r="K101" s="190"/>
      <c r="L101" s="193">
        <f>659928640+121124880</f>
        <v>781053520</v>
      </c>
      <c r="M101" s="521"/>
      <c r="N101" s="190" t="s">
        <v>99</v>
      </c>
      <c r="O101" s="194" t="s">
        <v>79</v>
      </c>
      <c r="P101" s="796" t="s">
        <v>122</v>
      </c>
      <c r="Q101" s="797">
        <v>41355</v>
      </c>
      <c r="R101" s="797" t="s">
        <v>122</v>
      </c>
      <c r="S101" s="797" t="s">
        <v>122</v>
      </c>
      <c r="T101" s="797" t="s">
        <v>122</v>
      </c>
      <c r="U101" s="797" t="s">
        <v>122</v>
      </c>
      <c r="V101" s="797" t="s">
        <v>122</v>
      </c>
      <c r="W101" s="797" t="s">
        <v>122</v>
      </c>
      <c r="X101" s="797">
        <f t="shared" ref="X101:X117" si="16">+Z101-12</f>
        <v>41403</v>
      </c>
      <c r="Y101" s="797">
        <v>41372</v>
      </c>
      <c r="Z101" s="623">
        <f t="shared" ref="Z101:Z117" si="17">+AD101-2</f>
        <v>41415</v>
      </c>
      <c r="AA101" s="623">
        <v>41389</v>
      </c>
      <c r="AB101" s="623" t="s">
        <v>122</v>
      </c>
      <c r="AC101" s="623" t="s">
        <v>122</v>
      </c>
      <c r="AD101" s="623">
        <f t="shared" ref="AD101:AD117" si="18">+AH101-12</f>
        <v>41417</v>
      </c>
      <c r="AE101" s="623">
        <v>41400</v>
      </c>
      <c r="AF101" s="623" t="s">
        <v>122</v>
      </c>
      <c r="AG101" s="623" t="s">
        <v>122</v>
      </c>
      <c r="AH101" s="623">
        <f>+AC15</f>
        <v>41429</v>
      </c>
      <c r="AI101" s="489">
        <v>41409</v>
      </c>
      <c r="AJ101" s="218" t="s">
        <v>481</v>
      </c>
      <c r="AK101" s="772">
        <v>1000</v>
      </c>
      <c r="AL101" s="794">
        <v>659928640</v>
      </c>
      <c r="AM101" s="772">
        <f t="shared" si="15"/>
        <v>1000</v>
      </c>
      <c r="AN101" s="795" t="s">
        <v>668</v>
      </c>
      <c r="AO101" s="11"/>
      <c r="AP101" s="12"/>
    </row>
    <row r="102" spans="2:42" ht="95.25" customHeight="1" thickBot="1" x14ac:dyDescent="0.25">
      <c r="B102" s="189" t="s">
        <v>127</v>
      </c>
      <c r="C102" s="197"/>
      <c r="D102" s="197" t="s">
        <v>111</v>
      </c>
      <c r="E102" s="190" t="s">
        <v>128</v>
      </c>
      <c r="F102" s="191" t="str">
        <f>+CONCATENATE("INTERVENTORÍA TECNICA, ADMINISTRATIVA, FINANCIERA Y AMBIENTAL AL CONTRATO CUYO OBJETO ES: ",F18)</f>
        <v>INTERVENTORÍA TECNICA, ADMINISTRATIVA, FINANCIERA Y AMBIENTAL AL CONTRATO CUYO OBJETO ES: CONTRUCCION DEL PUENTE VEHICULAR UBICADO EN LA AVENIDA CIRCUNVALAR CON CALLE 29,     ID [PV-1]. PERTENECIENTE AL SISTEMA ESTRATEGICO DE TRANSPORTE PUBLICO "SETP" DE LA CIUDAD DE MONTERIA.</v>
      </c>
      <c r="G102" s="192" t="s">
        <v>170</v>
      </c>
      <c r="H102" s="190"/>
      <c r="I102" s="190" t="s">
        <v>666</v>
      </c>
      <c r="J102" s="190" t="s">
        <v>106</v>
      </c>
      <c r="K102" s="190"/>
      <c r="L102" s="193">
        <f>547914400+117519600+19778000</f>
        <v>685212000</v>
      </c>
      <c r="M102" s="190"/>
      <c r="N102" s="190" t="s">
        <v>99</v>
      </c>
      <c r="O102" s="194" t="s">
        <v>79</v>
      </c>
      <c r="P102" s="796" t="s">
        <v>122</v>
      </c>
      <c r="Q102" s="797" t="s">
        <v>122</v>
      </c>
      <c r="R102" s="797" t="s">
        <v>122</v>
      </c>
      <c r="S102" s="797" t="s">
        <v>122</v>
      </c>
      <c r="T102" s="797" t="s">
        <v>122</v>
      </c>
      <c r="U102" s="797" t="s">
        <v>122</v>
      </c>
      <c r="V102" s="797" t="s">
        <v>122</v>
      </c>
      <c r="W102" s="797" t="s">
        <v>122</v>
      </c>
      <c r="X102" s="797">
        <f t="shared" si="16"/>
        <v>41443</v>
      </c>
      <c r="Y102" s="623">
        <v>41472</v>
      </c>
      <c r="Z102" s="623">
        <f t="shared" si="17"/>
        <v>41455</v>
      </c>
      <c r="AA102" s="623">
        <v>41491</v>
      </c>
      <c r="AB102" s="623" t="s">
        <v>122</v>
      </c>
      <c r="AC102" s="623" t="s">
        <v>122</v>
      </c>
      <c r="AD102" s="623">
        <f t="shared" si="18"/>
        <v>41457</v>
      </c>
      <c r="AE102" s="623">
        <v>41499</v>
      </c>
      <c r="AF102" s="623" t="s">
        <v>122</v>
      </c>
      <c r="AG102" s="623" t="s">
        <v>122</v>
      </c>
      <c r="AH102" s="623">
        <v>41469</v>
      </c>
      <c r="AI102" s="489">
        <v>41500</v>
      </c>
      <c r="AJ102" s="218" t="s">
        <v>451</v>
      </c>
      <c r="AK102" s="772">
        <v>1000</v>
      </c>
      <c r="AL102" s="794">
        <v>547914400</v>
      </c>
      <c r="AM102" s="772">
        <f t="shared" si="15"/>
        <v>1000</v>
      </c>
      <c r="AN102" s="795" t="s">
        <v>669</v>
      </c>
      <c r="AO102" s="11"/>
      <c r="AP102" s="12"/>
    </row>
    <row r="103" spans="2:42" ht="179.25" thickBot="1" x14ac:dyDescent="0.25">
      <c r="B103" s="189" t="s">
        <v>127</v>
      </c>
      <c r="C103" s="197"/>
      <c r="D103" s="190" t="s">
        <v>111</v>
      </c>
      <c r="E103" s="190" t="s">
        <v>128</v>
      </c>
      <c r="F103" s="191" t="s">
        <v>527</v>
      </c>
      <c r="G103" s="192" t="s">
        <v>502</v>
      </c>
      <c r="H103" s="190"/>
      <c r="I103" s="190" t="s">
        <v>670</v>
      </c>
      <c r="J103" s="190" t="s">
        <v>106</v>
      </c>
      <c r="K103" s="194"/>
      <c r="L103" s="476">
        <v>899528032</v>
      </c>
      <c r="M103" s="197"/>
      <c r="N103" s="190" t="s">
        <v>99</v>
      </c>
      <c r="O103" s="194" t="s">
        <v>79</v>
      </c>
      <c r="P103" s="484" t="s">
        <v>122</v>
      </c>
      <c r="Q103" s="623" t="s">
        <v>122</v>
      </c>
      <c r="R103" s="623" t="s">
        <v>122</v>
      </c>
      <c r="S103" s="623" t="s">
        <v>122</v>
      </c>
      <c r="T103" s="623" t="s">
        <v>122</v>
      </c>
      <c r="U103" s="623" t="s">
        <v>122</v>
      </c>
      <c r="V103" s="623" t="s">
        <v>122</v>
      </c>
      <c r="W103" s="623" t="s">
        <v>122</v>
      </c>
      <c r="X103" s="623">
        <f t="shared" si="16"/>
        <v>41585</v>
      </c>
      <c r="Y103" s="623">
        <v>41617</v>
      </c>
      <c r="Z103" s="623">
        <f t="shared" si="17"/>
        <v>41597</v>
      </c>
      <c r="AA103" s="623">
        <v>41628</v>
      </c>
      <c r="AB103" s="623" t="s">
        <v>122</v>
      </c>
      <c r="AC103" s="623" t="s">
        <v>122</v>
      </c>
      <c r="AD103" s="623">
        <f t="shared" si="18"/>
        <v>41599</v>
      </c>
      <c r="AE103" s="623">
        <v>41635</v>
      </c>
      <c r="AF103" s="623" t="s">
        <v>122</v>
      </c>
      <c r="AG103" s="623" t="s">
        <v>122</v>
      </c>
      <c r="AH103" s="623">
        <v>41611</v>
      </c>
      <c r="AI103" s="489">
        <v>41635</v>
      </c>
      <c r="AJ103" s="218" t="s">
        <v>569</v>
      </c>
      <c r="AK103" s="772">
        <v>975</v>
      </c>
      <c r="AL103" s="794">
        <f>899.529032*1000000</f>
        <v>899529032</v>
      </c>
      <c r="AM103" s="772">
        <f t="shared" si="15"/>
        <v>975</v>
      </c>
      <c r="AN103" s="795" t="s">
        <v>448</v>
      </c>
      <c r="AO103" s="11"/>
      <c r="AP103" s="12"/>
    </row>
    <row r="104" spans="2:42" ht="217.5" thickBot="1" x14ac:dyDescent="0.25">
      <c r="B104" s="189" t="s">
        <v>127</v>
      </c>
      <c r="C104" s="197"/>
      <c r="D104" s="197" t="s">
        <v>111</v>
      </c>
      <c r="E104" s="190" t="s">
        <v>128</v>
      </c>
      <c r="F104" s="191" t="s">
        <v>484</v>
      </c>
      <c r="G104" s="192" t="s">
        <v>403</v>
      </c>
      <c r="H104" s="190"/>
      <c r="I104" s="190" t="s">
        <v>671</v>
      </c>
      <c r="J104" s="190" t="s">
        <v>106</v>
      </c>
      <c r="K104" s="190"/>
      <c r="L104" s="193">
        <f>485344000+83900480</f>
        <v>569244480</v>
      </c>
      <c r="M104" s="190"/>
      <c r="N104" s="190" t="s">
        <v>99</v>
      </c>
      <c r="O104" s="194" t="s">
        <v>79</v>
      </c>
      <c r="P104" s="796" t="s">
        <v>122</v>
      </c>
      <c r="Q104" s="797" t="s">
        <v>122</v>
      </c>
      <c r="R104" s="797" t="s">
        <v>122</v>
      </c>
      <c r="S104" s="797" t="s">
        <v>122</v>
      </c>
      <c r="T104" s="797" t="s">
        <v>122</v>
      </c>
      <c r="U104" s="797" t="s">
        <v>122</v>
      </c>
      <c r="V104" s="797" t="s">
        <v>122</v>
      </c>
      <c r="W104" s="797" t="s">
        <v>122</v>
      </c>
      <c r="X104" s="797">
        <f t="shared" si="16"/>
        <v>41628</v>
      </c>
      <c r="Y104" s="623">
        <v>41544</v>
      </c>
      <c r="Z104" s="623">
        <f t="shared" si="17"/>
        <v>41640</v>
      </c>
      <c r="AA104" s="623">
        <v>41557</v>
      </c>
      <c r="AB104" s="623" t="s">
        <v>122</v>
      </c>
      <c r="AC104" s="623" t="s">
        <v>122</v>
      </c>
      <c r="AD104" s="623">
        <f t="shared" si="18"/>
        <v>41642</v>
      </c>
      <c r="AE104" s="623">
        <v>41568</v>
      </c>
      <c r="AF104" s="623" t="s">
        <v>122</v>
      </c>
      <c r="AG104" s="623" t="s">
        <v>122</v>
      </c>
      <c r="AH104" s="623">
        <v>41654</v>
      </c>
      <c r="AI104" s="489">
        <v>41593</v>
      </c>
      <c r="AJ104" s="218" t="s">
        <v>530</v>
      </c>
      <c r="AK104" s="772">
        <v>840</v>
      </c>
      <c r="AL104" s="794">
        <v>485344000</v>
      </c>
      <c r="AM104" s="772">
        <v>840</v>
      </c>
      <c r="AN104" s="795" t="s">
        <v>448</v>
      </c>
      <c r="AO104" s="11"/>
      <c r="AP104" s="12"/>
    </row>
    <row r="105" spans="2:42" ht="128.25" thickBot="1" x14ac:dyDescent="0.25">
      <c r="B105" s="255" t="s">
        <v>127</v>
      </c>
      <c r="C105" s="197"/>
      <c r="D105" s="197" t="s">
        <v>111</v>
      </c>
      <c r="E105" s="190" t="s">
        <v>128</v>
      </c>
      <c r="F105" s="191" t="s">
        <v>454</v>
      </c>
      <c r="G105" s="192" t="s">
        <v>453</v>
      </c>
      <c r="H105" s="190"/>
      <c r="I105" s="190" t="s">
        <v>672</v>
      </c>
      <c r="J105" s="190"/>
      <c r="K105" s="190"/>
      <c r="L105" s="193">
        <f>415371115+188069538-43453</f>
        <v>603397200</v>
      </c>
      <c r="M105" s="193"/>
      <c r="N105" s="190" t="s">
        <v>99</v>
      </c>
      <c r="O105" s="194" t="s">
        <v>79</v>
      </c>
      <c r="P105" s="796" t="s">
        <v>122</v>
      </c>
      <c r="Q105" s="797" t="s">
        <v>122</v>
      </c>
      <c r="R105" s="797" t="s">
        <v>122</v>
      </c>
      <c r="S105" s="797" t="s">
        <v>122</v>
      </c>
      <c r="T105" s="797" t="s">
        <v>122</v>
      </c>
      <c r="U105" s="797" t="s">
        <v>122</v>
      </c>
      <c r="V105" s="797" t="s">
        <v>122</v>
      </c>
      <c r="W105" s="797" t="s">
        <v>122</v>
      </c>
      <c r="X105" s="797">
        <f t="shared" si="16"/>
        <v>41718</v>
      </c>
      <c r="Y105" s="623">
        <v>41715</v>
      </c>
      <c r="Z105" s="623">
        <f t="shared" si="17"/>
        <v>41730</v>
      </c>
      <c r="AA105" s="623">
        <v>41726</v>
      </c>
      <c r="AB105" s="623" t="s">
        <v>122</v>
      </c>
      <c r="AC105" s="623" t="s">
        <v>122</v>
      </c>
      <c r="AD105" s="623">
        <f t="shared" si="18"/>
        <v>41732</v>
      </c>
      <c r="AE105" s="623">
        <v>41732</v>
      </c>
      <c r="AF105" s="623" t="s">
        <v>122</v>
      </c>
      <c r="AG105" s="623" t="s">
        <v>122</v>
      </c>
      <c r="AH105" s="623">
        <f>+AC21</f>
        <v>41744</v>
      </c>
      <c r="AI105" s="489">
        <v>41736</v>
      </c>
      <c r="AJ105" s="218" t="s">
        <v>570</v>
      </c>
      <c r="AK105" s="772">
        <v>750</v>
      </c>
      <c r="AL105" s="794">
        <v>603397200</v>
      </c>
      <c r="AM105" s="772">
        <f>+AK105</f>
        <v>750</v>
      </c>
      <c r="AN105" s="795" t="s">
        <v>448</v>
      </c>
      <c r="AO105" s="11"/>
      <c r="AP105" s="12"/>
    </row>
    <row r="106" spans="2:42" ht="132.75" customHeight="1" thickBot="1" x14ac:dyDescent="0.25">
      <c r="B106" s="189" t="s">
        <v>127</v>
      </c>
      <c r="C106" s="197"/>
      <c r="D106" s="197" t="s">
        <v>111</v>
      </c>
      <c r="E106" s="190" t="s">
        <v>128</v>
      </c>
      <c r="F106" s="549" t="s">
        <v>560</v>
      </c>
      <c r="G106" s="192" t="s">
        <v>561</v>
      </c>
      <c r="H106" s="190"/>
      <c r="I106" s="190" t="s">
        <v>673</v>
      </c>
      <c r="J106" s="190"/>
      <c r="K106" s="190"/>
      <c r="L106" s="248">
        <v>587208462</v>
      </c>
      <c r="M106" s="521"/>
      <c r="N106" s="190"/>
      <c r="O106" s="194"/>
      <c r="P106" s="484" t="s">
        <v>122</v>
      </c>
      <c r="Q106" s="623" t="s">
        <v>122</v>
      </c>
      <c r="R106" s="623" t="s">
        <v>122</v>
      </c>
      <c r="S106" s="623" t="s">
        <v>122</v>
      </c>
      <c r="T106" s="623" t="s">
        <v>122</v>
      </c>
      <c r="U106" s="623" t="s">
        <v>122</v>
      </c>
      <c r="V106" s="623" t="s">
        <v>122</v>
      </c>
      <c r="W106" s="623" t="s">
        <v>122</v>
      </c>
      <c r="X106" s="623">
        <f t="shared" si="16"/>
        <v>42236</v>
      </c>
      <c r="Y106" s="623">
        <v>42220</v>
      </c>
      <c r="Z106" s="623">
        <f t="shared" si="17"/>
        <v>42248</v>
      </c>
      <c r="AA106" s="623">
        <v>42237</v>
      </c>
      <c r="AB106" s="623" t="s">
        <v>122</v>
      </c>
      <c r="AC106" s="623" t="s">
        <v>122</v>
      </c>
      <c r="AD106" s="623">
        <f t="shared" si="18"/>
        <v>42250</v>
      </c>
      <c r="AE106" s="623">
        <v>42247</v>
      </c>
      <c r="AF106" s="623" t="s">
        <v>122</v>
      </c>
      <c r="AG106" s="623" t="s">
        <v>122</v>
      </c>
      <c r="AH106" s="623">
        <v>42262</v>
      </c>
      <c r="AI106" s="623">
        <v>42250</v>
      </c>
      <c r="AJ106" s="218" t="s">
        <v>674</v>
      </c>
      <c r="AK106" s="772">
        <v>1000</v>
      </c>
      <c r="AL106" s="794">
        <v>587208462</v>
      </c>
      <c r="AM106" s="772">
        <f>+AK106</f>
        <v>1000</v>
      </c>
      <c r="AN106" s="795" t="s">
        <v>448</v>
      </c>
      <c r="AO106" s="11"/>
      <c r="AP106" s="12"/>
    </row>
    <row r="107" spans="2:42" ht="51.75" thickBot="1" x14ac:dyDescent="0.25">
      <c r="B107" s="189" t="s">
        <v>127</v>
      </c>
      <c r="C107" s="197"/>
      <c r="D107" s="197" t="s">
        <v>111</v>
      </c>
      <c r="E107" s="190" t="s">
        <v>128</v>
      </c>
      <c r="F107" s="549" t="s">
        <v>483</v>
      </c>
      <c r="G107" s="192" t="s">
        <v>642</v>
      </c>
      <c r="H107" s="190"/>
      <c r="I107" s="190" t="s">
        <v>675</v>
      </c>
      <c r="J107" s="190" t="s">
        <v>106</v>
      </c>
      <c r="K107" s="190"/>
      <c r="L107" s="683">
        <f>912847572</f>
        <v>912847572</v>
      </c>
      <c r="M107" s="190"/>
      <c r="N107" s="190" t="s">
        <v>99</v>
      </c>
      <c r="O107" s="194" t="s">
        <v>79</v>
      </c>
      <c r="P107" s="796" t="s">
        <v>122</v>
      </c>
      <c r="Q107" s="797" t="s">
        <v>122</v>
      </c>
      <c r="R107" s="797" t="s">
        <v>122</v>
      </c>
      <c r="S107" s="797" t="s">
        <v>122</v>
      </c>
      <c r="T107" s="797" t="s">
        <v>122</v>
      </c>
      <c r="U107" s="797" t="s">
        <v>122</v>
      </c>
      <c r="V107" s="797" t="s">
        <v>122</v>
      </c>
      <c r="W107" s="797" t="s">
        <v>122</v>
      </c>
      <c r="X107" s="797">
        <f t="shared" si="16"/>
        <v>43226</v>
      </c>
      <c r="Y107" s="623">
        <v>43206</v>
      </c>
      <c r="Z107" s="623">
        <f t="shared" si="17"/>
        <v>43238</v>
      </c>
      <c r="AA107" s="623">
        <v>43242</v>
      </c>
      <c r="AB107" s="623" t="s">
        <v>122</v>
      </c>
      <c r="AC107" s="623" t="s">
        <v>122</v>
      </c>
      <c r="AD107" s="623">
        <v>43240</v>
      </c>
      <c r="AE107" s="623">
        <v>43250</v>
      </c>
      <c r="AF107" s="623" t="s">
        <v>122</v>
      </c>
      <c r="AG107" s="623" t="s">
        <v>122</v>
      </c>
      <c r="AH107" s="623">
        <v>43252</v>
      </c>
      <c r="AI107" s="623" t="s">
        <v>122</v>
      </c>
      <c r="AJ107" s="798" t="s">
        <v>676</v>
      </c>
      <c r="AK107" s="772">
        <v>885</v>
      </c>
      <c r="AL107" s="794">
        <v>912847572</v>
      </c>
      <c r="AM107" s="772">
        <f>+AK107</f>
        <v>885</v>
      </c>
      <c r="AN107" s="795" t="s">
        <v>677</v>
      </c>
      <c r="AO107" s="11"/>
      <c r="AP107" s="12"/>
    </row>
    <row r="108" spans="2:42" ht="69" customHeight="1" thickBot="1" x14ac:dyDescent="0.25">
      <c r="B108" s="189" t="s">
        <v>127</v>
      </c>
      <c r="C108" s="197"/>
      <c r="D108" s="197" t="s">
        <v>111</v>
      </c>
      <c r="E108" s="190" t="s">
        <v>128</v>
      </c>
      <c r="F108" s="684" t="s">
        <v>621</v>
      </c>
      <c r="G108" s="192" t="s">
        <v>167</v>
      </c>
      <c r="H108" s="190"/>
      <c r="I108" s="190" t="s">
        <v>122</v>
      </c>
      <c r="J108" s="190"/>
      <c r="K108" s="190"/>
      <c r="L108" s="680">
        <f>+M26*0.09</f>
        <v>1080000000</v>
      </c>
      <c r="M108" s="190"/>
      <c r="N108" s="190"/>
      <c r="O108" s="194"/>
      <c r="P108" s="484" t="s">
        <v>122</v>
      </c>
      <c r="Q108" s="623" t="s">
        <v>122</v>
      </c>
      <c r="R108" s="623" t="s">
        <v>122</v>
      </c>
      <c r="S108" s="623" t="s">
        <v>122</v>
      </c>
      <c r="T108" s="623" t="s">
        <v>122</v>
      </c>
      <c r="U108" s="623" t="s">
        <v>122</v>
      </c>
      <c r="V108" s="623" t="s">
        <v>122</v>
      </c>
      <c r="W108" s="623" t="s">
        <v>122</v>
      </c>
      <c r="X108" s="623">
        <f>+Z108-12</f>
        <v>43367</v>
      </c>
      <c r="Y108" s="623" t="s">
        <v>122</v>
      </c>
      <c r="Z108" s="623">
        <f>+AD108-2</f>
        <v>43379</v>
      </c>
      <c r="AA108" s="623" t="s">
        <v>122</v>
      </c>
      <c r="AB108" s="623" t="s">
        <v>122</v>
      </c>
      <c r="AC108" s="623" t="s">
        <v>122</v>
      </c>
      <c r="AD108" s="623">
        <f>+AH108-12</f>
        <v>43381</v>
      </c>
      <c r="AE108" s="623" t="s">
        <v>122</v>
      </c>
      <c r="AF108" s="623" t="s">
        <v>122</v>
      </c>
      <c r="AG108" s="623" t="s">
        <v>122</v>
      </c>
      <c r="AH108" s="623">
        <f>+VLOOKUP($G108,obra,23,FALSE)</f>
        <v>43393</v>
      </c>
      <c r="AI108" s="623" t="s">
        <v>122</v>
      </c>
      <c r="AJ108" s="218" t="s">
        <v>122</v>
      </c>
      <c r="AK108" s="772" t="s">
        <v>122</v>
      </c>
      <c r="AL108" s="772" t="s">
        <v>122</v>
      </c>
      <c r="AM108" s="772" t="s">
        <v>122</v>
      </c>
      <c r="AN108" s="795" t="s">
        <v>122</v>
      </c>
      <c r="AO108" s="11"/>
      <c r="AP108" s="12"/>
    </row>
    <row r="109" spans="2:42" ht="90" thickBot="1" x14ac:dyDescent="0.25">
      <c r="B109" s="189" t="s">
        <v>127</v>
      </c>
      <c r="C109" s="197"/>
      <c r="D109" s="197" t="s">
        <v>111</v>
      </c>
      <c r="E109" s="190" t="s">
        <v>128</v>
      </c>
      <c r="F109" s="549" t="str">
        <f>+CONCATENATE("INTERVENTORÍA TÉCNICA, ADMINISTRATIVA, FINANCIERA Y AMBIENTAL AL CONTRATO CUYO OBJETO ES LA ",F27)</f>
        <v>INTERVENTORÍA TÉCNICA, ADMINISTRATIVA, FINANCIERA Y AMBIENTAL AL CONTRATO CUYO OBJETO ES LA CONSTRUCCIÓN DEL CENTRO INTEGRADO DE SERVICIO AL CIUDADANO - CISC, ID (PD4). PERTENECIENTE AL SISTEMA ESTRATÉGICO DE TRANSPORTE PUBLICO "SETP" DE LA CIUDAD DE MONTERÍA</v>
      </c>
      <c r="G109" s="192" t="s">
        <v>186</v>
      </c>
      <c r="H109" s="190"/>
      <c r="I109" s="190" t="s">
        <v>678</v>
      </c>
      <c r="J109" s="190" t="s">
        <v>106</v>
      </c>
      <c r="K109" s="190"/>
      <c r="L109" s="698">
        <f>670033400+196946042+147291825+147291825</f>
        <v>1161563092</v>
      </c>
      <c r="M109" s="190"/>
      <c r="N109" s="190" t="s">
        <v>99</v>
      </c>
      <c r="O109" s="194" t="s">
        <v>79</v>
      </c>
      <c r="P109" s="484" t="s">
        <v>122</v>
      </c>
      <c r="Q109" s="623" t="s">
        <v>122</v>
      </c>
      <c r="R109" s="623" t="s">
        <v>122</v>
      </c>
      <c r="S109" s="623" t="s">
        <v>122</v>
      </c>
      <c r="T109" s="623" t="s">
        <v>122</v>
      </c>
      <c r="U109" s="623" t="s">
        <v>122</v>
      </c>
      <c r="V109" s="623" t="s">
        <v>122</v>
      </c>
      <c r="W109" s="623" t="s">
        <v>122</v>
      </c>
      <c r="X109" s="623">
        <f t="shared" si="16"/>
        <v>42176</v>
      </c>
      <c r="Y109" s="623">
        <v>42066</v>
      </c>
      <c r="Z109" s="623">
        <f t="shared" si="17"/>
        <v>42188</v>
      </c>
      <c r="AA109" s="623">
        <v>42080</v>
      </c>
      <c r="AB109" s="623" t="s">
        <v>122</v>
      </c>
      <c r="AC109" s="623" t="s">
        <v>122</v>
      </c>
      <c r="AD109" s="623">
        <f t="shared" si="18"/>
        <v>42190</v>
      </c>
      <c r="AE109" s="623">
        <v>42090</v>
      </c>
      <c r="AF109" s="623" t="s">
        <v>122</v>
      </c>
      <c r="AG109" s="623" t="s">
        <v>122</v>
      </c>
      <c r="AH109" s="623">
        <f>+VLOOKUP($G109,obra,23,FALSE)</f>
        <v>42202</v>
      </c>
      <c r="AI109" s="623">
        <v>42100</v>
      </c>
      <c r="AJ109" s="218" t="s">
        <v>680</v>
      </c>
      <c r="AK109" s="772">
        <v>970</v>
      </c>
      <c r="AL109" s="794">
        <v>670033400</v>
      </c>
      <c r="AM109" s="772">
        <f>+AK109</f>
        <v>970</v>
      </c>
      <c r="AN109" s="795" t="s">
        <v>681</v>
      </c>
      <c r="AO109" s="11"/>
      <c r="AP109" s="12"/>
    </row>
    <row r="110" spans="2:42" ht="81.75" customHeight="1" thickBot="1" x14ac:dyDescent="0.25">
      <c r="B110" s="644" t="s">
        <v>127</v>
      </c>
      <c r="C110" s="645"/>
      <c r="D110" s="197" t="s">
        <v>111</v>
      </c>
      <c r="E110" s="190" t="s">
        <v>128</v>
      </c>
      <c r="F110" s="191" t="str">
        <f>+CONCATENATE("INTERVENTORÍA TÉCNICA, ADMINISTRATIVA, FINANCIERA Y AMBIENTAL AL CONTRATO CUYO OBJETO ES:",F23)</f>
        <v>INTERVENTORÍA TÉCNICA, ADMINISTRATIVA, FINANCIERA Y AMBIENTAL AL CONTRATO CUYO OBJETO ES:CONSTRUCCIÓN DEL PAVIMENTO RÍGIDO, ANDENES Y ESPACIO PUBLICO DE LA CARRERA 2 ENTRE LA CALLE 37 Y CALLE 41, ID (204). PERTENECIENTE AL SISTEMA ESTRATÉGICO DE TRANSPORTE PUBLICO "SETP" DE LA CIUDAD DE MONTERÍA.</v>
      </c>
      <c r="G110" s="192">
        <v>204</v>
      </c>
      <c r="H110" s="190"/>
      <c r="I110" s="190" t="s">
        <v>679</v>
      </c>
      <c r="J110" s="190" t="s">
        <v>106</v>
      </c>
      <c r="K110" s="190"/>
      <c r="L110" s="697">
        <v>219499997</v>
      </c>
      <c r="M110" s="190"/>
      <c r="N110" s="190" t="s">
        <v>99</v>
      </c>
      <c r="O110" s="194" t="s">
        <v>79</v>
      </c>
      <c r="P110" s="484" t="s">
        <v>122</v>
      </c>
      <c r="Q110" s="623" t="s">
        <v>122</v>
      </c>
      <c r="R110" s="623" t="s">
        <v>122</v>
      </c>
      <c r="S110" s="623" t="s">
        <v>122</v>
      </c>
      <c r="T110" s="623" t="s">
        <v>122</v>
      </c>
      <c r="U110" s="623" t="s">
        <v>122</v>
      </c>
      <c r="V110" s="623" t="s">
        <v>122</v>
      </c>
      <c r="W110" s="623" t="s">
        <v>122</v>
      </c>
      <c r="X110" s="623">
        <f t="shared" si="16"/>
        <v>43061</v>
      </c>
      <c r="Y110" s="623">
        <v>43012</v>
      </c>
      <c r="Z110" s="623">
        <f t="shared" si="17"/>
        <v>43073</v>
      </c>
      <c r="AA110" s="623">
        <v>43027</v>
      </c>
      <c r="AB110" s="623" t="s">
        <v>122</v>
      </c>
      <c r="AC110" s="623" t="s">
        <v>122</v>
      </c>
      <c r="AD110" s="623">
        <f t="shared" si="18"/>
        <v>43075</v>
      </c>
      <c r="AE110" s="623">
        <v>43038</v>
      </c>
      <c r="AF110" s="623" t="s">
        <v>122</v>
      </c>
      <c r="AG110" s="623" t="s">
        <v>122</v>
      </c>
      <c r="AH110" s="623">
        <f>+VLOOKUP($G110,obra,23,FALSE)</f>
        <v>43087</v>
      </c>
      <c r="AI110" s="623">
        <v>43055</v>
      </c>
      <c r="AJ110" s="218" t="s">
        <v>660</v>
      </c>
      <c r="AK110" s="772">
        <v>855</v>
      </c>
      <c r="AL110" s="794">
        <v>219499997</v>
      </c>
      <c r="AM110" s="772">
        <f>+AK110</f>
        <v>855</v>
      </c>
      <c r="AN110" s="795" t="s">
        <v>443</v>
      </c>
      <c r="AO110" s="11"/>
      <c r="AP110" s="12"/>
    </row>
    <row r="111" spans="2:42" ht="90" thickBot="1" x14ac:dyDescent="0.25">
      <c r="B111" s="644" t="s">
        <v>127</v>
      </c>
      <c r="C111" s="645"/>
      <c r="D111" s="197" t="s">
        <v>111</v>
      </c>
      <c r="E111" s="190" t="s">
        <v>128</v>
      </c>
      <c r="F111" s="191" t="str">
        <f>+CONCATENATE("INTERVENTORÍA TÉCNICA, ADMINISTRATIVA, FINANCIERA Y AMBIENTAL AL CONTRATO CUYO OBJETO ES:",F24)</f>
        <v>INTERVENTORÍA TÉCNICA, ADMINISTRATIVA, FINANCIERA Y AMBIENTAL AL CONTRATO CUYO OBJETO ES:CONSTRUCCIÓN DEL PAVIMENTO RÍGIDO, ANDENES Y ESPACIO PUBLICO DE LA CARRERA 2 ENTRE LA CALLE 31 Y CALLE 37, ID (204). PERTENECIENTE AL SISTEMA ESTRATÉGICO DE TRANSPORTE PUBLICO "SETP" DE LA CIUDAD DE MONTERÍA.</v>
      </c>
      <c r="G111" s="192" t="s">
        <v>611</v>
      </c>
      <c r="H111" s="190"/>
      <c r="I111" s="190"/>
      <c r="J111" s="190" t="s">
        <v>106</v>
      </c>
      <c r="K111" s="190"/>
      <c r="L111" s="751">
        <f>ROUND(((VLOOKUP(G111,$G$14:$M$66,7,FALSE)*9%)),0)</f>
        <v>248220000</v>
      </c>
      <c r="M111" s="190"/>
      <c r="N111" s="190" t="s">
        <v>99</v>
      </c>
      <c r="O111" s="194" t="s">
        <v>79</v>
      </c>
      <c r="P111" s="484" t="s">
        <v>122</v>
      </c>
      <c r="Q111" s="623" t="s">
        <v>122</v>
      </c>
      <c r="R111" s="623" t="s">
        <v>122</v>
      </c>
      <c r="S111" s="623" t="s">
        <v>122</v>
      </c>
      <c r="T111" s="623" t="s">
        <v>122</v>
      </c>
      <c r="U111" s="623" t="s">
        <v>122</v>
      </c>
      <c r="V111" s="623" t="s">
        <v>122</v>
      </c>
      <c r="W111" s="623" t="s">
        <v>122</v>
      </c>
      <c r="X111" s="623">
        <f>+Z111-12</f>
        <v>43480</v>
      </c>
      <c r="Y111" s="623" t="s">
        <v>122</v>
      </c>
      <c r="Z111" s="623">
        <f>+AD111-2</f>
        <v>43492</v>
      </c>
      <c r="AA111" s="623" t="s">
        <v>122</v>
      </c>
      <c r="AB111" s="623" t="s">
        <v>122</v>
      </c>
      <c r="AC111" s="623" t="s">
        <v>122</v>
      </c>
      <c r="AD111" s="623">
        <f>+AH111-12</f>
        <v>43494</v>
      </c>
      <c r="AE111" s="623" t="s">
        <v>122</v>
      </c>
      <c r="AF111" s="623" t="s">
        <v>122</v>
      </c>
      <c r="AG111" s="623" t="s">
        <v>122</v>
      </c>
      <c r="AH111" s="623">
        <f>+VLOOKUP($G111,obra,23,FALSE)</f>
        <v>43506</v>
      </c>
      <c r="AI111" s="623" t="s">
        <v>122</v>
      </c>
      <c r="AJ111" s="218" t="s">
        <v>122</v>
      </c>
      <c r="AK111" s="772"/>
      <c r="AL111" s="772" t="s">
        <v>122</v>
      </c>
      <c r="AM111" s="772"/>
      <c r="AN111" s="795"/>
      <c r="AO111" s="11"/>
      <c r="AP111" s="12"/>
    </row>
    <row r="112" spans="2:42" ht="77.25" thickBot="1" x14ac:dyDescent="0.25">
      <c r="B112" s="189" t="s">
        <v>127</v>
      </c>
      <c r="C112" s="197"/>
      <c r="D112" s="190" t="s">
        <v>111</v>
      </c>
      <c r="E112" s="190" t="s">
        <v>128</v>
      </c>
      <c r="F112" s="549" t="s">
        <v>547</v>
      </c>
      <c r="G112" s="192" t="s">
        <v>503</v>
      </c>
      <c r="H112" s="190"/>
      <c r="I112" s="190" t="s">
        <v>682</v>
      </c>
      <c r="J112" s="190" t="s">
        <v>106</v>
      </c>
      <c r="K112" s="194"/>
      <c r="L112" s="476">
        <v>1100000000</v>
      </c>
      <c r="M112" s="197"/>
      <c r="N112" s="190"/>
      <c r="O112" s="194"/>
      <c r="P112" s="484" t="s">
        <v>122</v>
      </c>
      <c r="Q112" s="623" t="s">
        <v>122</v>
      </c>
      <c r="R112" s="623" t="s">
        <v>122</v>
      </c>
      <c r="S112" s="623" t="s">
        <v>122</v>
      </c>
      <c r="T112" s="623" t="s">
        <v>122</v>
      </c>
      <c r="U112" s="623" t="s">
        <v>122</v>
      </c>
      <c r="V112" s="623" t="s">
        <v>122</v>
      </c>
      <c r="W112" s="623" t="s">
        <v>122</v>
      </c>
      <c r="X112" s="623">
        <f t="shared" si="16"/>
        <v>41957</v>
      </c>
      <c r="Y112" s="623">
        <v>41913</v>
      </c>
      <c r="Z112" s="623">
        <f t="shared" si="17"/>
        <v>41969</v>
      </c>
      <c r="AA112" s="623">
        <v>41940</v>
      </c>
      <c r="AB112" s="623" t="s">
        <v>122</v>
      </c>
      <c r="AC112" s="623" t="s">
        <v>122</v>
      </c>
      <c r="AD112" s="623">
        <f t="shared" si="18"/>
        <v>41971</v>
      </c>
      <c r="AE112" s="623">
        <v>41950</v>
      </c>
      <c r="AF112" s="623" t="s">
        <v>122</v>
      </c>
      <c r="AG112" s="623" t="s">
        <v>122</v>
      </c>
      <c r="AH112" s="623">
        <v>41983</v>
      </c>
      <c r="AI112" s="778">
        <v>41956</v>
      </c>
      <c r="AJ112" s="218" t="s">
        <v>661</v>
      </c>
      <c r="AK112" s="772">
        <v>800</v>
      </c>
      <c r="AL112" s="794">
        <v>1100000000</v>
      </c>
      <c r="AM112" s="772">
        <f>+AK112</f>
        <v>800</v>
      </c>
      <c r="AN112" s="795" t="s">
        <v>448</v>
      </c>
      <c r="AO112" s="11"/>
      <c r="AP112" s="12"/>
    </row>
    <row r="113" spans="2:42" ht="51.75" thickBot="1" x14ac:dyDescent="0.25">
      <c r="B113" s="189" t="s">
        <v>127</v>
      </c>
      <c r="C113" s="197"/>
      <c r="D113" s="197" t="s">
        <v>111</v>
      </c>
      <c r="E113" s="190" t="s">
        <v>128</v>
      </c>
      <c r="F113" s="191" t="s">
        <v>482</v>
      </c>
      <c r="G113" s="192" t="s">
        <v>166</v>
      </c>
      <c r="H113" s="190"/>
      <c r="I113" s="190"/>
      <c r="J113" s="190" t="s">
        <v>106</v>
      </c>
      <c r="K113" s="190"/>
      <c r="L113" s="193">
        <f>ROUND(VLOOKUP(G113,$G$14:$M$66,7,FALSE)*5%,0)</f>
        <v>0</v>
      </c>
      <c r="M113" s="190"/>
      <c r="N113" s="190" t="s">
        <v>99</v>
      </c>
      <c r="O113" s="194" t="s">
        <v>79</v>
      </c>
      <c r="P113" s="796" t="s">
        <v>122</v>
      </c>
      <c r="Q113" s="797" t="s">
        <v>122</v>
      </c>
      <c r="R113" s="797" t="s">
        <v>122</v>
      </c>
      <c r="S113" s="797" t="s">
        <v>122</v>
      </c>
      <c r="T113" s="797" t="s">
        <v>122</v>
      </c>
      <c r="U113" s="797" t="s">
        <v>122</v>
      </c>
      <c r="V113" s="797" t="s">
        <v>122</v>
      </c>
      <c r="W113" s="797" t="s">
        <v>122</v>
      </c>
      <c r="X113" s="797" t="s">
        <v>122</v>
      </c>
      <c r="Y113" s="623" t="s">
        <v>122</v>
      </c>
      <c r="Z113" s="623" t="s">
        <v>122</v>
      </c>
      <c r="AA113" s="623" t="s">
        <v>122</v>
      </c>
      <c r="AB113" s="623" t="s">
        <v>122</v>
      </c>
      <c r="AC113" s="623" t="s">
        <v>122</v>
      </c>
      <c r="AD113" s="623" t="s">
        <v>122</v>
      </c>
      <c r="AE113" s="623" t="s">
        <v>122</v>
      </c>
      <c r="AF113" s="623" t="s">
        <v>122</v>
      </c>
      <c r="AG113" s="623" t="s">
        <v>122</v>
      </c>
      <c r="AH113" s="623" t="str">
        <f>+VLOOKUP($G113,obra,23,FALSE)</f>
        <v>N/A</v>
      </c>
      <c r="AI113" s="623" t="s">
        <v>122</v>
      </c>
      <c r="AJ113" s="218" t="s">
        <v>122</v>
      </c>
      <c r="AK113" s="772" t="s">
        <v>122</v>
      </c>
      <c r="AL113" s="772" t="s">
        <v>122</v>
      </c>
      <c r="AM113" s="772" t="s">
        <v>122</v>
      </c>
      <c r="AN113" s="795" t="s">
        <v>122</v>
      </c>
      <c r="AO113" s="11"/>
      <c r="AP113" s="12"/>
    </row>
    <row r="114" spans="2:42" ht="90" customHeight="1" thickBot="1" x14ac:dyDescent="0.25">
      <c r="B114" s="189" t="s">
        <v>127</v>
      </c>
      <c r="C114" s="197"/>
      <c r="D114" s="197" t="s">
        <v>111</v>
      </c>
      <c r="E114" s="190" t="s">
        <v>128</v>
      </c>
      <c r="F114" s="549" t="s">
        <v>485</v>
      </c>
      <c r="G114" s="192" t="s">
        <v>328</v>
      </c>
      <c r="H114" s="190"/>
      <c r="I114" s="190" t="s">
        <v>684</v>
      </c>
      <c r="J114" s="190" t="s">
        <v>106</v>
      </c>
      <c r="K114" s="190"/>
      <c r="L114" s="193">
        <f>291426800+62448600</f>
        <v>353875400</v>
      </c>
      <c r="M114" s="190"/>
      <c r="N114" s="190" t="s">
        <v>99</v>
      </c>
      <c r="O114" s="194" t="s">
        <v>79</v>
      </c>
      <c r="P114" s="796" t="s">
        <v>122</v>
      </c>
      <c r="Q114" s="797" t="s">
        <v>122</v>
      </c>
      <c r="R114" s="797" t="s">
        <v>122</v>
      </c>
      <c r="S114" s="797" t="s">
        <v>122</v>
      </c>
      <c r="T114" s="797" t="s">
        <v>122</v>
      </c>
      <c r="U114" s="797" t="s">
        <v>122</v>
      </c>
      <c r="V114" s="797" t="s">
        <v>122</v>
      </c>
      <c r="W114" s="797" t="s">
        <v>122</v>
      </c>
      <c r="X114" s="797">
        <f t="shared" si="16"/>
        <v>42500</v>
      </c>
      <c r="Y114" s="623">
        <v>42482</v>
      </c>
      <c r="Z114" s="623">
        <f t="shared" si="17"/>
        <v>42512</v>
      </c>
      <c r="AA114" s="623">
        <v>42494</v>
      </c>
      <c r="AB114" s="623" t="s">
        <v>122</v>
      </c>
      <c r="AC114" s="623" t="s">
        <v>122</v>
      </c>
      <c r="AD114" s="623">
        <f t="shared" si="18"/>
        <v>42514</v>
      </c>
      <c r="AE114" s="623">
        <v>42507</v>
      </c>
      <c r="AF114" s="623" t="s">
        <v>122</v>
      </c>
      <c r="AG114" s="623" t="s">
        <v>122</v>
      </c>
      <c r="AH114" s="623">
        <f>+VLOOKUP($G114,obra,23,FALSE)</f>
        <v>42526</v>
      </c>
      <c r="AI114" s="623">
        <v>42516</v>
      </c>
      <c r="AJ114" s="218" t="s">
        <v>662</v>
      </c>
      <c r="AK114" s="772">
        <v>1000</v>
      </c>
      <c r="AL114" s="794">
        <v>291426800</v>
      </c>
      <c r="AM114" s="772">
        <f>+AK114</f>
        <v>1000</v>
      </c>
      <c r="AN114" s="795" t="s">
        <v>448</v>
      </c>
      <c r="AO114" s="11"/>
      <c r="AP114" s="12"/>
    </row>
    <row r="115" spans="2:42" ht="84.75" customHeight="1" thickBot="1" x14ac:dyDescent="0.25">
      <c r="B115" s="189" t="s">
        <v>127</v>
      </c>
      <c r="C115" s="197"/>
      <c r="D115" s="197" t="s">
        <v>111</v>
      </c>
      <c r="E115" s="190" t="s">
        <v>128</v>
      </c>
      <c r="F115" s="549" t="str">
        <f>+CONCATENATE("INTERVENTORÍA TÉCNICA, ADMINISTRATIVA, FINANCIERA Y AMBIENTAL AL CONTRATO CUYO OBJETO ES:",F30)</f>
        <v>INTERVENTORÍA TÉCNICA, ADMINISTRATIVA, FINANCIERA Y AMBIENTAL AL CONTRATO CUYO OBJETO ES:CONSTRUCCIÓN DEL PAVIMENTO RÍGIDO, ANDENES Y ESPACIO PUBLICO DE LAS CALLES 31, 32, 33 Y 34 ENTRE CARRERA 1 Y CARRERA 5, ID (207-208-209-210). PERTENECIENTE AL SISTEMA ESTRATÉGICO DE TRANSPORTE PUBLICO "SETP" DE LA CIUDAD DE MONTERÍA.</v>
      </c>
      <c r="G115" s="192" t="s">
        <v>622</v>
      </c>
      <c r="H115" s="190"/>
      <c r="I115" s="190" t="s">
        <v>685</v>
      </c>
      <c r="J115" s="190" t="s">
        <v>106</v>
      </c>
      <c r="K115" s="190"/>
      <c r="L115" s="699">
        <v>434643216</v>
      </c>
      <c r="M115" s="190"/>
      <c r="N115" s="190" t="s">
        <v>99</v>
      </c>
      <c r="O115" s="194" t="s">
        <v>79</v>
      </c>
      <c r="P115" s="796" t="s">
        <v>122</v>
      </c>
      <c r="Q115" s="797" t="s">
        <v>122</v>
      </c>
      <c r="R115" s="797" t="s">
        <v>122</v>
      </c>
      <c r="S115" s="797" t="s">
        <v>122</v>
      </c>
      <c r="T115" s="797" t="s">
        <v>122</v>
      </c>
      <c r="U115" s="797" t="s">
        <v>122</v>
      </c>
      <c r="V115" s="797" t="s">
        <v>122</v>
      </c>
      <c r="W115" s="797" t="s">
        <v>122</v>
      </c>
      <c r="X115" s="797">
        <f t="shared" si="16"/>
        <v>43058</v>
      </c>
      <c r="Y115" s="623">
        <v>43033</v>
      </c>
      <c r="Z115" s="623">
        <f t="shared" si="17"/>
        <v>43070</v>
      </c>
      <c r="AA115" s="623">
        <v>43042</v>
      </c>
      <c r="AB115" s="623" t="s">
        <v>122</v>
      </c>
      <c r="AC115" s="623" t="s">
        <v>122</v>
      </c>
      <c r="AD115" s="623">
        <f t="shared" si="18"/>
        <v>43072</v>
      </c>
      <c r="AE115" s="623">
        <v>43053</v>
      </c>
      <c r="AF115" s="623" t="s">
        <v>122</v>
      </c>
      <c r="AG115" s="623" t="s">
        <v>122</v>
      </c>
      <c r="AH115" s="623">
        <f>+VLOOKUP($G115,obra,23,FALSE)</f>
        <v>43084</v>
      </c>
      <c r="AI115" s="623">
        <v>43076</v>
      </c>
      <c r="AJ115" s="218" t="s">
        <v>663</v>
      </c>
      <c r="AK115" s="772">
        <v>900</v>
      </c>
      <c r="AL115" s="794">
        <v>434643216</v>
      </c>
      <c r="AM115" s="772">
        <f>+AK115</f>
        <v>900</v>
      </c>
      <c r="AN115" s="795" t="s">
        <v>443</v>
      </c>
      <c r="AO115" s="11"/>
      <c r="AP115" s="12"/>
    </row>
    <row r="116" spans="2:42" ht="84.75" customHeight="1" thickBot="1" x14ac:dyDescent="0.25">
      <c r="B116" s="189" t="s">
        <v>127</v>
      </c>
      <c r="C116" s="197"/>
      <c r="D116" s="197" t="s">
        <v>111</v>
      </c>
      <c r="E116" s="190" t="s">
        <v>128</v>
      </c>
      <c r="F116" s="549" t="str">
        <f>+CONCATENATE("INTERVENTORÍA TÉCNICA, ADMINISTRATIVA, FINANCIERA Y AMBIENTAL AL CONTRATO CUYO OBJETO ES:",F31)</f>
        <v>INTERVENTORÍA TÉCNICA, ADMINISTRATIVA, FINANCIERA Y AMBIENTAL AL CONTRATO CUYO OBJETO ES:CONSTRUCCIÓN DEL PAVIMENTO RÍGIDO, ANDENES Y ESPACIO PUBLICO DE LA CALLES 35 ENTRE CARRERA 1 Y CARRERA 5, ID (203). PERTENECIENTE AL SISTEMA ESTRATÉGICO DE TRANSPORTE PUBLICO "SETP" DE LA CIUDAD DE MONTERÍA.</v>
      </c>
      <c r="G116" s="192">
        <v>203</v>
      </c>
      <c r="H116" s="190"/>
      <c r="I116" s="190" t="s">
        <v>122</v>
      </c>
      <c r="J116" s="190" t="s">
        <v>106</v>
      </c>
      <c r="K116" s="190"/>
      <c r="L116" s="600">
        <f>+VLOOKUP(G116,$G$14:$M$66,7,FALSE)*9%</f>
        <v>135450000</v>
      </c>
      <c r="M116" s="190"/>
      <c r="N116" s="190" t="s">
        <v>99</v>
      </c>
      <c r="O116" s="194" t="s">
        <v>79</v>
      </c>
      <c r="P116" s="796" t="s">
        <v>122</v>
      </c>
      <c r="Q116" s="797" t="s">
        <v>122</v>
      </c>
      <c r="R116" s="797" t="s">
        <v>122</v>
      </c>
      <c r="S116" s="797" t="s">
        <v>122</v>
      </c>
      <c r="T116" s="797" t="s">
        <v>122</v>
      </c>
      <c r="U116" s="797" t="s">
        <v>122</v>
      </c>
      <c r="V116" s="797" t="s">
        <v>122</v>
      </c>
      <c r="W116" s="797" t="s">
        <v>122</v>
      </c>
      <c r="X116" s="797">
        <f>+Z116-12</f>
        <v>43332</v>
      </c>
      <c r="Y116" s="623" t="s">
        <v>122</v>
      </c>
      <c r="Z116" s="623">
        <f>+AD116-2</f>
        <v>43344</v>
      </c>
      <c r="AA116" s="623" t="s">
        <v>122</v>
      </c>
      <c r="AB116" s="623" t="s">
        <v>122</v>
      </c>
      <c r="AC116" s="623" t="s">
        <v>122</v>
      </c>
      <c r="AD116" s="623">
        <f>+AH116-12</f>
        <v>43346</v>
      </c>
      <c r="AE116" s="623" t="s">
        <v>122</v>
      </c>
      <c r="AF116" s="623" t="s">
        <v>122</v>
      </c>
      <c r="AG116" s="623" t="s">
        <v>122</v>
      </c>
      <c r="AH116" s="623">
        <f>+VLOOKUP($G116,obra,23,FALSE)</f>
        <v>43358</v>
      </c>
      <c r="AI116" s="623" t="s">
        <v>122</v>
      </c>
      <c r="AJ116" s="218" t="s">
        <v>122</v>
      </c>
      <c r="AK116" s="772" t="s">
        <v>122</v>
      </c>
      <c r="AL116" s="772" t="s">
        <v>122</v>
      </c>
      <c r="AM116" s="772" t="s">
        <v>122</v>
      </c>
      <c r="AN116" s="795" t="s">
        <v>122</v>
      </c>
      <c r="AO116" s="11"/>
      <c r="AP116" s="12"/>
    </row>
    <row r="117" spans="2:42" ht="202.5" customHeight="1" thickBot="1" x14ac:dyDescent="0.25">
      <c r="B117" s="189" t="s">
        <v>127</v>
      </c>
      <c r="C117" s="197"/>
      <c r="D117" s="197" t="s">
        <v>111</v>
      </c>
      <c r="E117" s="190" t="s">
        <v>128</v>
      </c>
      <c r="F117" s="551" t="s">
        <v>588</v>
      </c>
      <c r="G117" s="552" t="s">
        <v>582</v>
      </c>
      <c r="H117" s="190"/>
      <c r="I117" s="190" t="s">
        <v>683</v>
      </c>
      <c r="J117" s="190" t="s">
        <v>106</v>
      </c>
      <c r="K117" s="190"/>
      <c r="L117" s="553">
        <v>336362789</v>
      </c>
      <c r="M117" s="190"/>
      <c r="N117" s="190" t="s">
        <v>99</v>
      </c>
      <c r="O117" s="194" t="s">
        <v>79</v>
      </c>
      <c r="P117" s="796" t="s">
        <v>122</v>
      </c>
      <c r="Q117" s="797" t="s">
        <v>122</v>
      </c>
      <c r="R117" s="797" t="s">
        <v>122</v>
      </c>
      <c r="S117" s="797" t="s">
        <v>122</v>
      </c>
      <c r="T117" s="797" t="s">
        <v>122</v>
      </c>
      <c r="U117" s="797" t="s">
        <v>122</v>
      </c>
      <c r="V117" s="797" t="s">
        <v>122</v>
      </c>
      <c r="W117" s="797" t="s">
        <v>122</v>
      </c>
      <c r="X117" s="797">
        <f t="shared" si="16"/>
        <v>42602</v>
      </c>
      <c r="Y117" s="623">
        <v>42621</v>
      </c>
      <c r="Z117" s="623">
        <f t="shared" si="17"/>
        <v>42614</v>
      </c>
      <c r="AA117" s="623">
        <v>42633</v>
      </c>
      <c r="AB117" s="623" t="s">
        <v>122</v>
      </c>
      <c r="AC117" s="623" t="s">
        <v>122</v>
      </c>
      <c r="AD117" s="623">
        <f t="shared" si="18"/>
        <v>42616</v>
      </c>
      <c r="AE117" s="623">
        <v>42649</v>
      </c>
      <c r="AF117" s="623" t="s">
        <v>122</v>
      </c>
      <c r="AG117" s="623" t="s">
        <v>122</v>
      </c>
      <c r="AH117" s="623">
        <f>+AC33</f>
        <v>42628</v>
      </c>
      <c r="AI117" s="623">
        <v>42655</v>
      </c>
      <c r="AJ117" s="218" t="s">
        <v>664</v>
      </c>
      <c r="AK117" s="772">
        <v>1000</v>
      </c>
      <c r="AL117" s="794">
        <v>336362789</v>
      </c>
      <c r="AM117" s="772">
        <f>+AK117</f>
        <v>1000</v>
      </c>
      <c r="AN117" s="795" t="s">
        <v>448</v>
      </c>
      <c r="AO117" s="11"/>
      <c r="AP117" s="12"/>
    </row>
    <row r="118" spans="2:42" ht="202.5" customHeight="1" thickBot="1" x14ac:dyDescent="0.25">
      <c r="B118" s="189" t="s">
        <v>127</v>
      </c>
      <c r="C118" s="197"/>
      <c r="D118" s="197" t="s">
        <v>111</v>
      </c>
      <c r="E118" s="190" t="s">
        <v>128</v>
      </c>
      <c r="F118" s="551" t="s">
        <v>589</v>
      </c>
      <c r="G118" s="552" t="s">
        <v>575</v>
      </c>
      <c r="H118" s="190"/>
      <c r="I118" s="190" t="s">
        <v>686</v>
      </c>
      <c r="J118" s="190" t="s">
        <v>106</v>
      </c>
      <c r="K118" s="190"/>
      <c r="L118" s="553">
        <f>ROUND(+(M34)*7%,0)</f>
        <v>234177793</v>
      </c>
      <c r="M118" s="190"/>
      <c r="N118" s="190" t="s">
        <v>99</v>
      </c>
      <c r="O118" s="194" t="s">
        <v>79</v>
      </c>
      <c r="P118" s="796" t="s">
        <v>122</v>
      </c>
      <c r="Q118" s="797" t="s">
        <v>122</v>
      </c>
      <c r="R118" s="797" t="s">
        <v>122</v>
      </c>
      <c r="S118" s="797" t="s">
        <v>122</v>
      </c>
      <c r="T118" s="797" t="s">
        <v>122</v>
      </c>
      <c r="U118" s="797" t="s">
        <v>122</v>
      </c>
      <c r="V118" s="797" t="s">
        <v>122</v>
      </c>
      <c r="W118" s="797" t="s">
        <v>122</v>
      </c>
      <c r="X118" s="797">
        <f>+Z118-12</f>
        <v>42632</v>
      </c>
      <c r="Y118" s="623">
        <v>42695</v>
      </c>
      <c r="Z118" s="623">
        <f>+AD118-2</f>
        <v>42644</v>
      </c>
      <c r="AA118" s="623">
        <v>42704</v>
      </c>
      <c r="AB118" s="623" t="s">
        <v>122</v>
      </c>
      <c r="AC118" s="623" t="s">
        <v>122</v>
      </c>
      <c r="AD118" s="623">
        <f>+AH118-12</f>
        <v>42646</v>
      </c>
      <c r="AE118" s="623">
        <v>42711</v>
      </c>
      <c r="AF118" s="623" t="s">
        <v>122</v>
      </c>
      <c r="AG118" s="623" t="s">
        <v>122</v>
      </c>
      <c r="AH118" s="623">
        <f>+AC34</f>
        <v>42658</v>
      </c>
      <c r="AI118" s="623">
        <v>42716</v>
      </c>
      <c r="AJ118" s="218" t="s">
        <v>665</v>
      </c>
      <c r="AK118" s="772">
        <v>900</v>
      </c>
      <c r="AL118" s="794">
        <v>234184542</v>
      </c>
      <c r="AM118" s="772">
        <f>+AK118</f>
        <v>900</v>
      </c>
      <c r="AN118" s="795" t="s">
        <v>448</v>
      </c>
      <c r="AO118" s="11"/>
      <c r="AP118" s="12"/>
    </row>
    <row r="119" spans="2:42" ht="36.75" customHeight="1" thickBot="1" x14ac:dyDescent="0.25">
      <c r="B119" s="200" t="s">
        <v>456</v>
      </c>
      <c r="C119" s="201"/>
      <c r="D119" s="201" t="s">
        <v>111</v>
      </c>
      <c r="E119" s="201" t="s">
        <v>128</v>
      </c>
      <c r="F119" s="202" t="s">
        <v>486</v>
      </c>
      <c r="G119" s="766" t="s">
        <v>487</v>
      </c>
      <c r="H119" s="201"/>
      <c r="I119" s="201" t="s">
        <v>335</v>
      </c>
      <c r="J119" s="201" t="s">
        <v>106</v>
      </c>
      <c r="K119" s="201"/>
      <c r="L119" s="204">
        <v>0</v>
      </c>
      <c r="M119" s="190"/>
      <c r="N119" s="190"/>
      <c r="O119" s="194" t="s">
        <v>99</v>
      </c>
      <c r="P119" s="793" t="s">
        <v>122</v>
      </c>
      <c r="Q119" s="783" t="s">
        <v>122</v>
      </c>
      <c r="R119" s="783" t="s">
        <v>122</v>
      </c>
      <c r="S119" s="783" t="s">
        <v>122</v>
      </c>
      <c r="T119" s="783" t="s">
        <v>122</v>
      </c>
      <c r="U119" s="783" t="s">
        <v>122</v>
      </c>
      <c r="V119" s="783" t="s">
        <v>122</v>
      </c>
      <c r="W119" s="783" t="s">
        <v>122</v>
      </c>
      <c r="X119" s="783" t="s">
        <v>122</v>
      </c>
      <c r="Y119" s="783" t="s">
        <v>122</v>
      </c>
      <c r="Z119" s="783" t="s">
        <v>122</v>
      </c>
      <c r="AA119" s="783" t="s">
        <v>122</v>
      </c>
      <c r="AB119" s="783" t="s">
        <v>122</v>
      </c>
      <c r="AC119" s="783" t="s">
        <v>122</v>
      </c>
      <c r="AD119" s="783" t="s">
        <v>122</v>
      </c>
      <c r="AE119" s="783" t="s">
        <v>122</v>
      </c>
      <c r="AF119" s="772" t="s">
        <v>122</v>
      </c>
      <c r="AG119" s="772" t="s">
        <v>122</v>
      </c>
      <c r="AH119" s="623" t="s">
        <v>122</v>
      </c>
      <c r="AI119" s="623" t="s">
        <v>122</v>
      </c>
      <c r="AJ119" s="218"/>
      <c r="AK119" s="772"/>
      <c r="AL119" s="772"/>
      <c r="AM119" s="772"/>
      <c r="AN119" s="795" t="s">
        <v>488</v>
      </c>
      <c r="AO119" s="11"/>
      <c r="AP119" s="12"/>
    </row>
    <row r="120" spans="2:42" ht="34.5" customHeight="1" thickBot="1" x14ac:dyDescent="0.25">
      <c r="B120" s="200" t="s">
        <v>456</v>
      </c>
      <c r="C120" s="201"/>
      <c r="D120" s="201" t="s">
        <v>111</v>
      </c>
      <c r="E120" s="201" t="s">
        <v>128</v>
      </c>
      <c r="F120" s="202" t="s">
        <v>418</v>
      </c>
      <c r="G120" s="766" t="s">
        <v>358</v>
      </c>
      <c r="H120" s="201"/>
      <c r="I120" s="201" t="s">
        <v>336</v>
      </c>
      <c r="J120" s="201" t="s">
        <v>106</v>
      </c>
      <c r="K120" s="201"/>
      <c r="L120" s="204">
        <v>0</v>
      </c>
      <c r="M120" s="190"/>
      <c r="N120" s="190"/>
      <c r="O120" s="194" t="s">
        <v>99</v>
      </c>
      <c r="P120" s="793" t="s">
        <v>122</v>
      </c>
      <c r="Q120" s="783" t="s">
        <v>122</v>
      </c>
      <c r="R120" s="783" t="s">
        <v>122</v>
      </c>
      <c r="S120" s="783" t="s">
        <v>122</v>
      </c>
      <c r="T120" s="783" t="s">
        <v>122</v>
      </c>
      <c r="U120" s="783" t="s">
        <v>122</v>
      </c>
      <c r="V120" s="783" t="s">
        <v>122</v>
      </c>
      <c r="W120" s="783" t="s">
        <v>122</v>
      </c>
      <c r="X120" s="783" t="s">
        <v>122</v>
      </c>
      <c r="Y120" s="783" t="s">
        <v>122</v>
      </c>
      <c r="Z120" s="783" t="s">
        <v>122</v>
      </c>
      <c r="AA120" s="783" t="s">
        <v>122</v>
      </c>
      <c r="AB120" s="783" t="s">
        <v>122</v>
      </c>
      <c r="AC120" s="783" t="s">
        <v>122</v>
      </c>
      <c r="AD120" s="783" t="s">
        <v>122</v>
      </c>
      <c r="AE120" s="783" t="s">
        <v>122</v>
      </c>
      <c r="AF120" s="772" t="s">
        <v>122</v>
      </c>
      <c r="AG120" s="772" t="s">
        <v>122</v>
      </c>
      <c r="AH120" s="623" t="s">
        <v>122</v>
      </c>
      <c r="AI120" s="623" t="s">
        <v>122</v>
      </c>
      <c r="AJ120" s="218"/>
      <c r="AK120" s="772"/>
      <c r="AL120" s="772"/>
      <c r="AM120" s="772"/>
      <c r="AN120" s="795" t="s">
        <v>488</v>
      </c>
      <c r="AO120" s="11"/>
      <c r="AP120" s="12"/>
    </row>
    <row r="121" spans="2:42" ht="41.25" customHeight="1" thickBot="1" x14ac:dyDescent="0.25">
      <c r="B121" s="200" t="s">
        <v>456</v>
      </c>
      <c r="C121" s="201"/>
      <c r="D121" s="201" t="s">
        <v>111</v>
      </c>
      <c r="E121" s="201" t="s">
        <v>128</v>
      </c>
      <c r="F121" s="202" t="s">
        <v>489</v>
      </c>
      <c r="G121" s="766" t="s">
        <v>359</v>
      </c>
      <c r="H121" s="201"/>
      <c r="I121" s="201" t="s">
        <v>337</v>
      </c>
      <c r="J121" s="201" t="s">
        <v>106</v>
      </c>
      <c r="K121" s="201"/>
      <c r="L121" s="204">
        <v>0</v>
      </c>
      <c r="M121" s="190"/>
      <c r="N121" s="190"/>
      <c r="O121" s="194" t="s">
        <v>99</v>
      </c>
      <c r="P121" s="793" t="s">
        <v>122</v>
      </c>
      <c r="Q121" s="783" t="s">
        <v>122</v>
      </c>
      <c r="R121" s="783" t="s">
        <v>122</v>
      </c>
      <c r="S121" s="783" t="s">
        <v>122</v>
      </c>
      <c r="T121" s="783" t="s">
        <v>122</v>
      </c>
      <c r="U121" s="783" t="s">
        <v>122</v>
      </c>
      <c r="V121" s="783" t="s">
        <v>122</v>
      </c>
      <c r="W121" s="783" t="s">
        <v>122</v>
      </c>
      <c r="X121" s="783" t="s">
        <v>122</v>
      </c>
      <c r="Y121" s="783" t="s">
        <v>122</v>
      </c>
      <c r="Z121" s="783" t="s">
        <v>122</v>
      </c>
      <c r="AA121" s="783" t="s">
        <v>122</v>
      </c>
      <c r="AB121" s="783" t="s">
        <v>122</v>
      </c>
      <c r="AC121" s="783" t="s">
        <v>122</v>
      </c>
      <c r="AD121" s="783" t="s">
        <v>122</v>
      </c>
      <c r="AE121" s="783" t="s">
        <v>122</v>
      </c>
      <c r="AF121" s="772" t="s">
        <v>122</v>
      </c>
      <c r="AG121" s="772" t="s">
        <v>122</v>
      </c>
      <c r="AH121" s="623" t="s">
        <v>122</v>
      </c>
      <c r="AI121" s="623" t="s">
        <v>122</v>
      </c>
      <c r="AJ121" s="218"/>
      <c r="AK121" s="772"/>
      <c r="AL121" s="772"/>
      <c r="AM121" s="772"/>
      <c r="AN121" s="795" t="s">
        <v>488</v>
      </c>
      <c r="AO121" s="11"/>
      <c r="AP121" s="12"/>
    </row>
    <row r="122" spans="2:42" ht="30" customHeight="1" thickBot="1" x14ac:dyDescent="0.25">
      <c r="B122" s="200" t="s">
        <v>127</v>
      </c>
      <c r="C122" s="201"/>
      <c r="D122" s="201" t="s">
        <v>111</v>
      </c>
      <c r="E122" s="201" t="s">
        <v>128</v>
      </c>
      <c r="F122" s="202" t="s">
        <v>490</v>
      </c>
      <c r="G122" s="203">
        <v>8</v>
      </c>
      <c r="H122" s="201"/>
      <c r="I122" s="201"/>
      <c r="J122" s="201" t="s">
        <v>106</v>
      </c>
      <c r="K122" s="201"/>
      <c r="L122" s="204">
        <v>0</v>
      </c>
      <c r="M122" s="221"/>
      <c r="N122" s="221" t="s">
        <v>99</v>
      </c>
      <c r="O122" s="222" t="s">
        <v>79</v>
      </c>
      <c r="P122" s="799" t="s">
        <v>122</v>
      </c>
      <c r="Q122" s="800" t="s">
        <v>122</v>
      </c>
      <c r="R122" s="800" t="s">
        <v>122</v>
      </c>
      <c r="S122" s="800" t="s">
        <v>122</v>
      </c>
      <c r="T122" s="800" t="s">
        <v>122</v>
      </c>
      <c r="U122" s="800" t="s">
        <v>122</v>
      </c>
      <c r="V122" s="800" t="s">
        <v>122</v>
      </c>
      <c r="W122" s="800" t="s">
        <v>122</v>
      </c>
      <c r="X122" s="800" t="s">
        <v>122</v>
      </c>
      <c r="Y122" s="800" t="s">
        <v>122</v>
      </c>
      <c r="Z122" s="800" t="s">
        <v>122</v>
      </c>
      <c r="AA122" s="800" t="s">
        <v>122</v>
      </c>
      <c r="AB122" s="800" t="s">
        <v>122</v>
      </c>
      <c r="AC122" s="800" t="s">
        <v>122</v>
      </c>
      <c r="AD122" s="800" t="s">
        <v>122</v>
      </c>
      <c r="AE122" s="800" t="s">
        <v>122</v>
      </c>
      <c r="AF122" s="801" t="s">
        <v>122</v>
      </c>
      <c r="AG122" s="801" t="s">
        <v>122</v>
      </c>
      <c r="AH122" s="802" t="s">
        <v>122</v>
      </c>
      <c r="AI122" s="802" t="s">
        <v>122</v>
      </c>
      <c r="AJ122" s="223" t="s">
        <v>122</v>
      </c>
      <c r="AK122" s="801"/>
      <c r="AL122" s="801"/>
      <c r="AM122" s="801"/>
      <c r="AN122" s="803" t="s">
        <v>491</v>
      </c>
      <c r="AO122" s="11"/>
      <c r="AP122" s="12"/>
    </row>
    <row r="123" spans="2:42" ht="34.5" customHeight="1" thickBot="1" x14ac:dyDescent="0.25">
      <c r="B123" s="200" t="s">
        <v>127</v>
      </c>
      <c r="C123" s="201"/>
      <c r="D123" s="201" t="s">
        <v>111</v>
      </c>
      <c r="E123" s="201" t="s">
        <v>128</v>
      </c>
      <c r="F123" s="202" t="s">
        <v>492</v>
      </c>
      <c r="G123" s="203">
        <v>15</v>
      </c>
      <c r="H123" s="201"/>
      <c r="I123" s="201" t="s">
        <v>493</v>
      </c>
      <c r="J123" s="201" t="s">
        <v>106</v>
      </c>
      <c r="K123" s="201"/>
      <c r="L123" s="767">
        <v>8820206.1593047362</v>
      </c>
      <c r="M123" s="201"/>
      <c r="N123" s="201" t="s">
        <v>99</v>
      </c>
      <c r="O123" s="205" t="s">
        <v>79</v>
      </c>
      <c r="P123" s="804" t="s">
        <v>122</v>
      </c>
      <c r="Q123" s="805" t="s">
        <v>122</v>
      </c>
      <c r="R123" s="805" t="s">
        <v>122</v>
      </c>
      <c r="S123" s="805" t="s">
        <v>122</v>
      </c>
      <c r="T123" s="805" t="s">
        <v>122</v>
      </c>
      <c r="U123" s="805" t="s">
        <v>122</v>
      </c>
      <c r="V123" s="805" t="s">
        <v>122</v>
      </c>
      <c r="W123" s="805" t="s">
        <v>122</v>
      </c>
      <c r="X123" s="805" t="s">
        <v>122</v>
      </c>
      <c r="Y123" s="805" t="s">
        <v>122</v>
      </c>
      <c r="Z123" s="805" t="s">
        <v>122</v>
      </c>
      <c r="AA123" s="805" t="s">
        <v>122</v>
      </c>
      <c r="AB123" s="805" t="s">
        <v>122</v>
      </c>
      <c r="AC123" s="805" t="s">
        <v>122</v>
      </c>
      <c r="AD123" s="805" t="s">
        <v>122</v>
      </c>
      <c r="AE123" s="805" t="s">
        <v>122</v>
      </c>
      <c r="AF123" s="806" t="s">
        <v>122</v>
      </c>
      <c r="AG123" s="806" t="s">
        <v>122</v>
      </c>
      <c r="AH123" s="807" t="s">
        <v>122</v>
      </c>
      <c r="AI123" s="807" t="s">
        <v>122</v>
      </c>
      <c r="AJ123" s="219" t="s">
        <v>122</v>
      </c>
      <c r="AK123" s="806"/>
      <c r="AL123" s="806"/>
      <c r="AM123" s="806"/>
      <c r="AN123" s="808" t="s">
        <v>488</v>
      </c>
      <c r="AO123" s="11"/>
      <c r="AP123" s="12"/>
    </row>
    <row r="124" spans="2:42" ht="28.5" customHeight="1" thickBot="1" x14ac:dyDescent="0.25">
      <c r="B124" s="200" t="s">
        <v>127</v>
      </c>
      <c r="C124" s="201"/>
      <c r="D124" s="201" t="s">
        <v>111</v>
      </c>
      <c r="E124" s="201" t="s">
        <v>128</v>
      </c>
      <c r="F124" s="202" t="s">
        <v>494</v>
      </c>
      <c r="G124" s="203">
        <v>54</v>
      </c>
      <c r="H124" s="201"/>
      <c r="I124" s="201" t="s">
        <v>493</v>
      </c>
      <c r="J124" s="201" t="s">
        <v>106</v>
      </c>
      <c r="K124" s="201"/>
      <c r="L124" s="767">
        <v>1846089.6612498283</v>
      </c>
      <c r="M124" s="201"/>
      <c r="N124" s="201" t="s">
        <v>99</v>
      </c>
      <c r="O124" s="205" t="s">
        <v>79</v>
      </c>
      <c r="P124" s="804" t="s">
        <v>122</v>
      </c>
      <c r="Q124" s="805" t="s">
        <v>122</v>
      </c>
      <c r="R124" s="805" t="s">
        <v>122</v>
      </c>
      <c r="S124" s="805" t="s">
        <v>122</v>
      </c>
      <c r="T124" s="805" t="s">
        <v>122</v>
      </c>
      <c r="U124" s="805" t="s">
        <v>122</v>
      </c>
      <c r="V124" s="805" t="s">
        <v>122</v>
      </c>
      <c r="W124" s="805" t="s">
        <v>122</v>
      </c>
      <c r="X124" s="805" t="s">
        <v>122</v>
      </c>
      <c r="Y124" s="805" t="s">
        <v>122</v>
      </c>
      <c r="Z124" s="805" t="s">
        <v>122</v>
      </c>
      <c r="AA124" s="805" t="s">
        <v>122</v>
      </c>
      <c r="AB124" s="805" t="s">
        <v>122</v>
      </c>
      <c r="AC124" s="805" t="s">
        <v>122</v>
      </c>
      <c r="AD124" s="805" t="s">
        <v>122</v>
      </c>
      <c r="AE124" s="805" t="s">
        <v>122</v>
      </c>
      <c r="AF124" s="806" t="s">
        <v>122</v>
      </c>
      <c r="AG124" s="806" t="s">
        <v>122</v>
      </c>
      <c r="AH124" s="807" t="s">
        <v>122</v>
      </c>
      <c r="AI124" s="807" t="s">
        <v>122</v>
      </c>
      <c r="AJ124" s="219" t="s">
        <v>122</v>
      </c>
      <c r="AK124" s="806"/>
      <c r="AL124" s="806"/>
      <c r="AM124" s="806"/>
      <c r="AN124" s="808" t="s">
        <v>488</v>
      </c>
      <c r="AO124" s="11"/>
      <c r="AP124" s="12"/>
    </row>
    <row r="125" spans="2:42" ht="27" customHeight="1" thickBot="1" x14ac:dyDescent="0.25">
      <c r="B125" s="200" t="s">
        <v>127</v>
      </c>
      <c r="C125" s="201"/>
      <c r="D125" s="201" t="s">
        <v>111</v>
      </c>
      <c r="E125" s="201" t="s">
        <v>128</v>
      </c>
      <c r="F125" s="202" t="s">
        <v>495</v>
      </c>
      <c r="G125" s="203">
        <v>120</v>
      </c>
      <c r="H125" s="201"/>
      <c r="I125" s="201" t="s">
        <v>493</v>
      </c>
      <c r="J125" s="201" t="s">
        <v>106</v>
      </c>
      <c r="K125" s="201"/>
      <c r="L125" s="767">
        <v>133074613.85999998</v>
      </c>
      <c r="M125" s="201"/>
      <c r="N125" s="201" t="s">
        <v>99</v>
      </c>
      <c r="O125" s="205" t="s">
        <v>79</v>
      </c>
      <c r="P125" s="804" t="s">
        <v>122</v>
      </c>
      <c r="Q125" s="805" t="s">
        <v>122</v>
      </c>
      <c r="R125" s="805" t="s">
        <v>122</v>
      </c>
      <c r="S125" s="805" t="s">
        <v>122</v>
      </c>
      <c r="T125" s="805" t="s">
        <v>122</v>
      </c>
      <c r="U125" s="805" t="s">
        <v>122</v>
      </c>
      <c r="V125" s="805" t="s">
        <v>122</v>
      </c>
      <c r="W125" s="805" t="s">
        <v>122</v>
      </c>
      <c r="X125" s="805" t="s">
        <v>122</v>
      </c>
      <c r="Y125" s="805" t="s">
        <v>122</v>
      </c>
      <c r="Z125" s="805" t="s">
        <v>122</v>
      </c>
      <c r="AA125" s="805" t="s">
        <v>122</v>
      </c>
      <c r="AB125" s="805" t="s">
        <v>122</v>
      </c>
      <c r="AC125" s="805" t="s">
        <v>122</v>
      </c>
      <c r="AD125" s="805" t="s">
        <v>122</v>
      </c>
      <c r="AE125" s="805" t="s">
        <v>122</v>
      </c>
      <c r="AF125" s="806" t="s">
        <v>122</v>
      </c>
      <c r="AG125" s="806" t="s">
        <v>122</v>
      </c>
      <c r="AH125" s="807" t="s">
        <v>122</v>
      </c>
      <c r="AI125" s="807" t="s">
        <v>122</v>
      </c>
      <c r="AJ125" s="219" t="s">
        <v>122</v>
      </c>
      <c r="AK125" s="806"/>
      <c r="AL125" s="806"/>
      <c r="AM125" s="806"/>
      <c r="AN125" s="808" t="s">
        <v>488</v>
      </c>
      <c r="AO125" s="11"/>
      <c r="AP125" s="12"/>
    </row>
    <row r="126" spans="2:42" ht="30" customHeight="1" thickBot="1" x14ac:dyDescent="0.25">
      <c r="B126" s="200" t="s">
        <v>127</v>
      </c>
      <c r="C126" s="201"/>
      <c r="D126" s="201" t="s">
        <v>111</v>
      </c>
      <c r="E126" s="201" t="s">
        <v>128</v>
      </c>
      <c r="F126" s="202" t="s">
        <v>496</v>
      </c>
      <c r="G126" s="203">
        <v>106</v>
      </c>
      <c r="H126" s="201"/>
      <c r="I126" s="201" t="s">
        <v>493</v>
      </c>
      <c r="J126" s="201" t="s">
        <v>106</v>
      </c>
      <c r="K126" s="201"/>
      <c r="L126" s="767">
        <v>59397055.280000001</v>
      </c>
      <c r="M126" s="201"/>
      <c r="N126" s="201" t="s">
        <v>99</v>
      </c>
      <c r="O126" s="205" t="s">
        <v>79</v>
      </c>
      <c r="P126" s="804" t="s">
        <v>122</v>
      </c>
      <c r="Q126" s="805" t="s">
        <v>122</v>
      </c>
      <c r="R126" s="805" t="s">
        <v>122</v>
      </c>
      <c r="S126" s="805" t="s">
        <v>122</v>
      </c>
      <c r="T126" s="805" t="s">
        <v>122</v>
      </c>
      <c r="U126" s="805" t="s">
        <v>122</v>
      </c>
      <c r="V126" s="805" t="s">
        <v>122</v>
      </c>
      <c r="W126" s="805" t="s">
        <v>122</v>
      </c>
      <c r="X126" s="805" t="s">
        <v>122</v>
      </c>
      <c r="Y126" s="805" t="s">
        <v>122</v>
      </c>
      <c r="Z126" s="805" t="s">
        <v>122</v>
      </c>
      <c r="AA126" s="805" t="s">
        <v>122</v>
      </c>
      <c r="AB126" s="805" t="s">
        <v>122</v>
      </c>
      <c r="AC126" s="805" t="s">
        <v>122</v>
      </c>
      <c r="AD126" s="805" t="s">
        <v>122</v>
      </c>
      <c r="AE126" s="805" t="s">
        <v>122</v>
      </c>
      <c r="AF126" s="806" t="s">
        <v>122</v>
      </c>
      <c r="AG126" s="806" t="s">
        <v>122</v>
      </c>
      <c r="AH126" s="807" t="s">
        <v>122</v>
      </c>
      <c r="AI126" s="807" t="s">
        <v>122</v>
      </c>
      <c r="AJ126" s="219" t="s">
        <v>122</v>
      </c>
      <c r="AK126" s="806"/>
      <c r="AL126" s="806"/>
      <c r="AM126" s="806"/>
      <c r="AN126" s="808" t="s">
        <v>488</v>
      </c>
      <c r="AO126" s="11"/>
      <c r="AP126" s="12"/>
    </row>
    <row r="127" spans="2:42" ht="34.5" customHeight="1" thickBot="1" x14ac:dyDescent="0.25">
      <c r="B127" s="200" t="s">
        <v>127</v>
      </c>
      <c r="C127" s="201"/>
      <c r="D127" s="201" t="s">
        <v>111</v>
      </c>
      <c r="E127" s="201" t="s">
        <v>128</v>
      </c>
      <c r="F127" s="202" t="s">
        <v>497</v>
      </c>
      <c r="G127" s="203" t="s">
        <v>168</v>
      </c>
      <c r="H127" s="201"/>
      <c r="I127" s="201" t="s">
        <v>498</v>
      </c>
      <c r="J127" s="201" t="s">
        <v>106</v>
      </c>
      <c r="K127" s="201"/>
      <c r="L127" s="767">
        <v>0</v>
      </c>
      <c r="M127" s="301"/>
      <c r="N127" s="301" t="s">
        <v>99</v>
      </c>
      <c r="O127" s="302" t="s">
        <v>79</v>
      </c>
      <c r="P127" s="809" t="s">
        <v>122</v>
      </c>
      <c r="Q127" s="489" t="s">
        <v>122</v>
      </c>
      <c r="R127" s="489" t="s">
        <v>122</v>
      </c>
      <c r="S127" s="489" t="s">
        <v>122</v>
      </c>
      <c r="T127" s="489" t="s">
        <v>122</v>
      </c>
      <c r="U127" s="489" t="s">
        <v>122</v>
      </c>
      <c r="V127" s="489" t="s">
        <v>122</v>
      </c>
      <c r="W127" s="489" t="s">
        <v>122</v>
      </c>
      <c r="X127" s="489" t="s">
        <v>122</v>
      </c>
      <c r="Y127" s="489" t="s">
        <v>122</v>
      </c>
      <c r="Z127" s="489" t="s">
        <v>122</v>
      </c>
      <c r="AA127" s="489" t="s">
        <v>122</v>
      </c>
      <c r="AB127" s="489" t="s">
        <v>122</v>
      </c>
      <c r="AC127" s="489" t="s">
        <v>122</v>
      </c>
      <c r="AD127" s="489" t="s">
        <v>122</v>
      </c>
      <c r="AE127" s="489" t="s">
        <v>122</v>
      </c>
      <c r="AF127" s="810" t="s">
        <v>122</v>
      </c>
      <c r="AG127" s="810" t="s">
        <v>122</v>
      </c>
      <c r="AH127" s="811" t="s">
        <v>122</v>
      </c>
      <c r="AI127" s="811" t="s">
        <v>122</v>
      </c>
      <c r="AJ127" s="303" t="s">
        <v>122</v>
      </c>
      <c r="AK127" s="810"/>
      <c r="AL127" s="810"/>
      <c r="AM127" s="810"/>
      <c r="AN127" s="812" t="s">
        <v>488</v>
      </c>
      <c r="AO127" s="11"/>
      <c r="AP127" s="12"/>
    </row>
    <row r="128" spans="2:42" ht="29.25" customHeight="1" thickBot="1" x14ac:dyDescent="0.25">
      <c r="B128" s="200" t="s">
        <v>127</v>
      </c>
      <c r="C128" s="201"/>
      <c r="D128" s="201" t="s">
        <v>111</v>
      </c>
      <c r="E128" s="201" t="s">
        <v>128</v>
      </c>
      <c r="F128" s="202" t="s">
        <v>499</v>
      </c>
      <c r="G128" s="203">
        <v>119</v>
      </c>
      <c r="H128" s="201"/>
      <c r="I128" s="201" t="s">
        <v>493</v>
      </c>
      <c r="J128" s="201" t="s">
        <v>106</v>
      </c>
      <c r="K128" s="201"/>
      <c r="L128" s="767">
        <v>457356567.04000002</v>
      </c>
      <c r="M128" s="201"/>
      <c r="N128" s="201" t="s">
        <v>99</v>
      </c>
      <c r="O128" s="205" t="s">
        <v>79</v>
      </c>
      <c r="P128" s="804" t="s">
        <v>122</v>
      </c>
      <c r="Q128" s="805" t="s">
        <v>122</v>
      </c>
      <c r="R128" s="805" t="s">
        <v>122</v>
      </c>
      <c r="S128" s="805" t="s">
        <v>122</v>
      </c>
      <c r="T128" s="805" t="s">
        <v>122</v>
      </c>
      <c r="U128" s="805" t="s">
        <v>122</v>
      </c>
      <c r="V128" s="805" t="s">
        <v>122</v>
      </c>
      <c r="W128" s="805" t="s">
        <v>122</v>
      </c>
      <c r="X128" s="805" t="s">
        <v>122</v>
      </c>
      <c r="Y128" s="805" t="s">
        <v>122</v>
      </c>
      <c r="Z128" s="805" t="s">
        <v>122</v>
      </c>
      <c r="AA128" s="805" t="s">
        <v>122</v>
      </c>
      <c r="AB128" s="805" t="s">
        <v>122</v>
      </c>
      <c r="AC128" s="805" t="s">
        <v>122</v>
      </c>
      <c r="AD128" s="805" t="s">
        <v>122</v>
      </c>
      <c r="AE128" s="805" t="s">
        <v>122</v>
      </c>
      <c r="AF128" s="806" t="s">
        <v>122</v>
      </c>
      <c r="AG128" s="806" t="s">
        <v>122</v>
      </c>
      <c r="AH128" s="807" t="s">
        <v>122</v>
      </c>
      <c r="AI128" s="807" t="s">
        <v>122</v>
      </c>
      <c r="AJ128" s="219" t="s">
        <v>122</v>
      </c>
      <c r="AK128" s="806"/>
      <c r="AL128" s="806"/>
      <c r="AM128" s="806"/>
      <c r="AN128" s="808" t="s">
        <v>488</v>
      </c>
      <c r="AO128" s="11"/>
      <c r="AP128" s="12"/>
    </row>
    <row r="129" spans="1:42" ht="24" customHeight="1" thickBot="1" x14ac:dyDescent="0.25">
      <c r="B129" s="200" t="s">
        <v>127</v>
      </c>
      <c r="C129" s="201"/>
      <c r="D129" s="201" t="s">
        <v>111</v>
      </c>
      <c r="E129" s="201" t="s">
        <v>128</v>
      </c>
      <c r="F129" s="202" t="s">
        <v>500</v>
      </c>
      <c r="G129" s="203" t="s">
        <v>333</v>
      </c>
      <c r="H129" s="201"/>
      <c r="I129" s="201" t="s">
        <v>501</v>
      </c>
      <c r="J129" s="201" t="s">
        <v>106</v>
      </c>
      <c r="K129" s="201"/>
      <c r="L129" s="768">
        <f>+'[11]obras validadas'!$G$23</f>
        <v>279999640</v>
      </c>
      <c r="M129" s="201"/>
      <c r="N129" s="201" t="s">
        <v>99</v>
      </c>
      <c r="O129" s="205" t="s">
        <v>79</v>
      </c>
      <c r="P129" s="804" t="s">
        <v>122</v>
      </c>
      <c r="Q129" s="805" t="s">
        <v>122</v>
      </c>
      <c r="R129" s="805" t="s">
        <v>122</v>
      </c>
      <c r="S129" s="805" t="s">
        <v>122</v>
      </c>
      <c r="T129" s="805" t="s">
        <v>122</v>
      </c>
      <c r="U129" s="805" t="s">
        <v>122</v>
      </c>
      <c r="V129" s="805" t="s">
        <v>122</v>
      </c>
      <c r="W129" s="805" t="s">
        <v>122</v>
      </c>
      <c r="X129" s="805" t="s">
        <v>122</v>
      </c>
      <c r="Y129" s="805" t="s">
        <v>122</v>
      </c>
      <c r="Z129" s="805" t="s">
        <v>122</v>
      </c>
      <c r="AA129" s="805" t="s">
        <v>122</v>
      </c>
      <c r="AB129" s="805" t="s">
        <v>122</v>
      </c>
      <c r="AC129" s="805" t="s">
        <v>122</v>
      </c>
      <c r="AD129" s="805" t="s">
        <v>122</v>
      </c>
      <c r="AE129" s="805" t="s">
        <v>122</v>
      </c>
      <c r="AF129" s="806" t="s">
        <v>122</v>
      </c>
      <c r="AG129" s="806" t="s">
        <v>122</v>
      </c>
      <c r="AH129" s="807" t="s">
        <v>122</v>
      </c>
      <c r="AI129" s="807" t="s">
        <v>122</v>
      </c>
      <c r="AJ129" s="219" t="s">
        <v>122</v>
      </c>
      <c r="AK129" s="806"/>
      <c r="AL129" s="806"/>
      <c r="AM129" s="806"/>
      <c r="AN129" s="808" t="s">
        <v>488</v>
      </c>
      <c r="AO129" s="11"/>
      <c r="AP129" s="12"/>
    </row>
    <row r="130" spans="1:42" ht="13.5" thickBot="1" x14ac:dyDescent="0.25">
      <c r="B130" s="225"/>
      <c r="C130" s="226"/>
      <c r="D130" s="226"/>
      <c r="E130" s="220"/>
      <c r="F130" s="207"/>
      <c r="G130" s="220"/>
      <c r="H130" s="220"/>
      <c r="I130" s="220"/>
      <c r="J130" s="220"/>
      <c r="K130" s="220"/>
      <c r="L130" s="227"/>
      <c r="M130" s="220"/>
      <c r="N130" s="220"/>
      <c r="O130" s="228"/>
      <c r="P130" s="813"/>
      <c r="Q130" s="814"/>
      <c r="R130" s="814"/>
      <c r="S130" s="814"/>
      <c r="T130" s="814"/>
      <c r="U130" s="814"/>
      <c r="V130" s="814"/>
      <c r="W130" s="814"/>
      <c r="X130" s="814"/>
      <c r="Y130" s="814"/>
      <c r="Z130" s="814"/>
      <c r="AA130" s="814"/>
      <c r="AB130" s="814"/>
      <c r="AC130" s="814"/>
      <c r="AD130" s="814"/>
      <c r="AE130" s="814"/>
      <c r="AF130" s="814"/>
      <c r="AG130" s="814"/>
      <c r="AH130" s="815"/>
      <c r="AI130" s="814" t="s">
        <v>122</v>
      </c>
      <c r="AJ130" s="229"/>
      <c r="AK130" s="816"/>
      <c r="AL130" s="816"/>
      <c r="AM130" s="816"/>
      <c r="AN130" s="817"/>
      <c r="AO130" s="11"/>
      <c r="AP130" s="12"/>
    </row>
    <row r="131" spans="1:42" ht="91.5" customHeight="1" thickBot="1" x14ac:dyDescent="0.25">
      <c r="B131" s="189" t="s">
        <v>127</v>
      </c>
      <c r="C131" s="197"/>
      <c r="D131" s="197" t="s">
        <v>111</v>
      </c>
      <c r="E131" s="190" t="s">
        <v>128</v>
      </c>
      <c r="F131" s="549" t="s">
        <v>507</v>
      </c>
      <c r="G131" s="192" t="s">
        <v>353</v>
      </c>
      <c r="H131" s="190"/>
      <c r="I131" s="190"/>
      <c r="J131" s="190" t="s">
        <v>106</v>
      </c>
      <c r="K131" s="190"/>
      <c r="L131" s="600">
        <f>IFERROR(ROUND(VLOOKUP(G131,G33:M71,7,FALSE)*9%,0),0)</f>
        <v>360000000</v>
      </c>
      <c r="M131" s="190"/>
      <c r="N131" s="190" t="s">
        <v>99</v>
      </c>
      <c r="O131" s="194" t="s">
        <v>79</v>
      </c>
      <c r="P131" s="484" t="s">
        <v>122</v>
      </c>
      <c r="Q131" s="623" t="s">
        <v>122</v>
      </c>
      <c r="R131" s="623" t="s">
        <v>122</v>
      </c>
      <c r="S131" s="623" t="s">
        <v>122</v>
      </c>
      <c r="T131" s="623" t="s">
        <v>122</v>
      </c>
      <c r="U131" s="623" t="s">
        <v>122</v>
      </c>
      <c r="V131" s="623" t="s">
        <v>122</v>
      </c>
      <c r="W131" s="623" t="s">
        <v>122</v>
      </c>
      <c r="X131" s="623">
        <f t="shared" ref="X131:X135" si="19">+Z131-12</f>
        <v>43332</v>
      </c>
      <c r="Y131" s="623" t="s">
        <v>122</v>
      </c>
      <c r="Z131" s="623">
        <f t="shared" ref="Z131:Z135" si="20">+AD131-2</f>
        <v>43344</v>
      </c>
      <c r="AA131" s="623" t="s">
        <v>122</v>
      </c>
      <c r="AB131" s="623" t="s">
        <v>122</v>
      </c>
      <c r="AC131" s="623" t="s">
        <v>122</v>
      </c>
      <c r="AD131" s="623">
        <f t="shared" ref="AD131:AD135" si="21">+AH131-12</f>
        <v>43346</v>
      </c>
      <c r="AE131" s="623" t="s">
        <v>122</v>
      </c>
      <c r="AF131" s="623" t="s">
        <v>122</v>
      </c>
      <c r="AG131" s="623" t="s">
        <v>122</v>
      </c>
      <c r="AH131" s="623">
        <f t="shared" ref="AH131:AH140" si="22">+VLOOKUP($G131,obra,23,FALSE)</f>
        <v>43358</v>
      </c>
      <c r="AI131" s="623" t="s">
        <v>122</v>
      </c>
      <c r="AJ131" s="218" t="s">
        <v>122</v>
      </c>
      <c r="AK131" s="772"/>
      <c r="AL131" s="772"/>
      <c r="AM131" s="772"/>
      <c r="AN131" s="795"/>
      <c r="AO131" s="11"/>
      <c r="AP131" s="12"/>
    </row>
    <row r="132" spans="1:42" ht="51.75" thickBot="1" x14ac:dyDescent="0.25">
      <c r="B132" s="189" t="s">
        <v>127</v>
      </c>
      <c r="C132" s="197"/>
      <c r="D132" s="197" t="s">
        <v>111</v>
      </c>
      <c r="E132" s="190" t="s">
        <v>128</v>
      </c>
      <c r="F132" s="191" t="s">
        <v>515</v>
      </c>
      <c r="G132" s="192" t="s">
        <v>183</v>
      </c>
      <c r="H132" s="190"/>
      <c r="I132" s="190"/>
      <c r="J132" s="190" t="s">
        <v>106</v>
      </c>
      <c r="K132" s="190"/>
      <c r="L132" s="600">
        <f>IFERROR(ROUND(VLOOKUP(G132,G33:M84,7,FALSE)*10%,0),0)</f>
        <v>0</v>
      </c>
      <c r="M132" s="190"/>
      <c r="N132" s="190" t="s">
        <v>99</v>
      </c>
      <c r="O132" s="194" t="s">
        <v>79</v>
      </c>
      <c r="P132" s="484" t="s">
        <v>122</v>
      </c>
      <c r="Q132" s="623" t="s">
        <v>122</v>
      </c>
      <c r="R132" s="623" t="s">
        <v>122</v>
      </c>
      <c r="S132" s="623" t="s">
        <v>122</v>
      </c>
      <c r="T132" s="623" t="s">
        <v>122</v>
      </c>
      <c r="U132" s="623" t="s">
        <v>122</v>
      </c>
      <c r="V132" s="623" t="s">
        <v>122</v>
      </c>
      <c r="W132" s="623" t="s">
        <v>122</v>
      </c>
      <c r="X132" s="623" t="s">
        <v>122</v>
      </c>
      <c r="Y132" s="623" t="s">
        <v>122</v>
      </c>
      <c r="Z132" s="623" t="s">
        <v>122</v>
      </c>
      <c r="AA132" s="623" t="s">
        <v>122</v>
      </c>
      <c r="AB132" s="623" t="s">
        <v>122</v>
      </c>
      <c r="AC132" s="623" t="s">
        <v>122</v>
      </c>
      <c r="AD132" s="623" t="s">
        <v>122</v>
      </c>
      <c r="AE132" s="623" t="s">
        <v>122</v>
      </c>
      <c r="AF132" s="623" t="s">
        <v>122</v>
      </c>
      <c r="AG132" s="623" t="s">
        <v>122</v>
      </c>
      <c r="AH132" s="623" t="str">
        <f t="shared" si="22"/>
        <v>N/A</v>
      </c>
      <c r="AI132" s="623" t="s">
        <v>122</v>
      </c>
      <c r="AJ132" s="218" t="s">
        <v>122</v>
      </c>
      <c r="AK132" s="772"/>
      <c r="AL132" s="772"/>
      <c r="AM132" s="772"/>
      <c r="AN132" s="795"/>
      <c r="AO132" s="11"/>
      <c r="AP132" s="12"/>
    </row>
    <row r="133" spans="1:42" ht="51.75" thickBot="1" x14ac:dyDescent="0.25">
      <c r="B133" s="189" t="s">
        <v>127</v>
      </c>
      <c r="C133" s="197"/>
      <c r="D133" s="197" t="s">
        <v>111</v>
      </c>
      <c r="E133" s="190" t="s">
        <v>128</v>
      </c>
      <c r="F133" s="191" t="s">
        <v>516</v>
      </c>
      <c r="G133" s="192" t="s">
        <v>184</v>
      </c>
      <c r="H133" s="190"/>
      <c r="I133" s="190"/>
      <c r="J133" s="190" t="s">
        <v>106</v>
      </c>
      <c r="K133" s="190"/>
      <c r="L133" s="600">
        <f>IFERROR(ROUND(VLOOKUP(G133,G33:M85,7,FALSE)*10%,0),0)</f>
        <v>74543677</v>
      </c>
      <c r="M133" s="190"/>
      <c r="N133" s="190" t="s">
        <v>99</v>
      </c>
      <c r="O133" s="194" t="s">
        <v>79</v>
      </c>
      <c r="P133" s="484" t="s">
        <v>122</v>
      </c>
      <c r="Q133" s="623" t="s">
        <v>122</v>
      </c>
      <c r="R133" s="623" t="s">
        <v>122</v>
      </c>
      <c r="S133" s="623" t="s">
        <v>122</v>
      </c>
      <c r="T133" s="623" t="s">
        <v>122</v>
      </c>
      <c r="U133" s="623" t="s">
        <v>122</v>
      </c>
      <c r="V133" s="623" t="s">
        <v>122</v>
      </c>
      <c r="W133" s="623" t="s">
        <v>122</v>
      </c>
      <c r="X133" s="623">
        <f t="shared" si="19"/>
        <v>43337</v>
      </c>
      <c r="Y133" s="623" t="s">
        <v>122</v>
      </c>
      <c r="Z133" s="623">
        <f t="shared" si="20"/>
        <v>43349</v>
      </c>
      <c r="AA133" s="623" t="s">
        <v>122</v>
      </c>
      <c r="AB133" s="623" t="s">
        <v>122</v>
      </c>
      <c r="AC133" s="623" t="s">
        <v>122</v>
      </c>
      <c r="AD133" s="623">
        <f t="shared" si="21"/>
        <v>43351</v>
      </c>
      <c r="AE133" s="623" t="s">
        <v>122</v>
      </c>
      <c r="AF133" s="623" t="s">
        <v>122</v>
      </c>
      <c r="AG133" s="623" t="s">
        <v>122</v>
      </c>
      <c r="AH133" s="623">
        <f t="shared" si="22"/>
        <v>43363</v>
      </c>
      <c r="AI133" s="623" t="s">
        <v>122</v>
      </c>
      <c r="AJ133" s="218" t="s">
        <v>122</v>
      </c>
      <c r="AK133" s="772"/>
      <c r="AL133" s="772"/>
      <c r="AM133" s="772"/>
      <c r="AN133" s="795"/>
      <c r="AO133" s="11"/>
      <c r="AP133" s="12" t="s">
        <v>122</v>
      </c>
    </row>
    <row r="134" spans="1:42" ht="51.75" thickBot="1" x14ac:dyDescent="0.25">
      <c r="B134" s="189" t="s">
        <v>127</v>
      </c>
      <c r="C134" s="197"/>
      <c r="D134" s="197" t="s">
        <v>111</v>
      </c>
      <c r="E134" s="190" t="s">
        <v>128</v>
      </c>
      <c r="F134" s="191" t="s">
        <v>517</v>
      </c>
      <c r="G134" s="192" t="s">
        <v>185</v>
      </c>
      <c r="H134" s="190"/>
      <c r="I134" s="190"/>
      <c r="J134" s="190" t="s">
        <v>106</v>
      </c>
      <c r="K134" s="190"/>
      <c r="L134" s="600">
        <f>IFERROR(ROUND(VLOOKUP(G134,G35:M86,7,FALSE)*10%,0),0)</f>
        <v>0</v>
      </c>
      <c r="M134" s="190"/>
      <c r="N134" s="190" t="s">
        <v>99</v>
      </c>
      <c r="O134" s="194" t="s">
        <v>79</v>
      </c>
      <c r="P134" s="484" t="s">
        <v>122</v>
      </c>
      <c r="Q134" s="623" t="s">
        <v>122</v>
      </c>
      <c r="R134" s="623" t="s">
        <v>122</v>
      </c>
      <c r="S134" s="623" t="s">
        <v>122</v>
      </c>
      <c r="T134" s="623" t="s">
        <v>122</v>
      </c>
      <c r="U134" s="623" t="s">
        <v>122</v>
      </c>
      <c r="V134" s="623" t="s">
        <v>122</v>
      </c>
      <c r="W134" s="623" t="s">
        <v>122</v>
      </c>
      <c r="X134" s="623" t="s">
        <v>122</v>
      </c>
      <c r="Y134" s="623" t="s">
        <v>122</v>
      </c>
      <c r="Z134" s="623" t="s">
        <v>122</v>
      </c>
      <c r="AA134" s="623" t="s">
        <v>122</v>
      </c>
      <c r="AB134" s="623" t="s">
        <v>122</v>
      </c>
      <c r="AC134" s="623" t="s">
        <v>122</v>
      </c>
      <c r="AD134" s="623" t="s">
        <v>122</v>
      </c>
      <c r="AE134" s="623" t="s">
        <v>122</v>
      </c>
      <c r="AF134" s="623" t="s">
        <v>122</v>
      </c>
      <c r="AG134" s="623" t="s">
        <v>122</v>
      </c>
      <c r="AH134" s="623" t="str">
        <f t="shared" si="22"/>
        <v>N/A</v>
      </c>
      <c r="AI134" s="623" t="s">
        <v>122</v>
      </c>
      <c r="AJ134" s="218" t="s">
        <v>122</v>
      </c>
      <c r="AK134" s="772"/>
      <c r="AL134" s="772"/>
      <c r="AM134" s="772"/>
      <c r="AN134" s="795"/>
      <c r="AO134" s="11"/>
      <c r="AP134" s="12"/>
    </row>
    <row r="135" spans="1:42" ht="51.75" thickBot="1" x14ac:dyDescent="0.25">
      <c r="B135" s="189" t="s">
        <v>127</v>
      </c>
      <c r="C135" s="197"/>
      <c r="D135" s="197" t="s">
        <v>111</v>
      </c>
      <c r="E135" s="190" t="s">
        <v>128</v>
      </c>
      <c r="F135" s="191" t="s">
        <v>518</v>
      </c>
      <c r="G135" s="192" t="s">
        <v>187</v>
      </c>
      <c r="H135" s="190"/>
      <c r="I135" s="190"/>
      <c r="J135" s="190" t="s">
        <v>106</v>
      </c>
      <c r="K135" s="190"/>
      <c r="L135" s="600">
        <f>IFERROR(ROUND(VLOOKUP(G135,G37:M88,7,FALSE)*9%,0),0)</f>
        <v>231557690</v>
      </c>
      <c r="M135" s="190"/>
      <c r="N135" s="190" t="s">
        <v>99</v>
      </c>
      <c r="O135" s="194" t="s">
        <v>79</v>
      </c>
      <c r="P135" s="484" t="s">
        <v>122</v>
      </c>
      <c r="Q135" s="623" t="s">
        <v>122</v>
      </c>
      <c r="R135" s="623" t="s">
        <v>122</v>
      </c>
      <c r="S135" s="623" t="s">
        <v>122</v>
      </c>
      <c r="T135" s="623" t="s">
        <v>122</v>
      </c>
      <c r="U135" s="623" t="s">
        <v>122</v>
      </c>
      <c r="V135" s="623" t="s">
        <v>122</v>
      </c>
      <c r="W135" s="623" t="s">
        <v>122</v>
      </c>
      <c r="X135" s="623">
        <f t="shared" si="19"/>
        <v>43418</v>
      </c>
      <c r="Y135" s="623" t="s">
        <v>122</v>
      </c>
      <c r="Z135" s="623">
        <f t="shared" si="20"/>
        <v>43430</v>
      </c>
      <c r="AA135" s="623" t="s">
        <v>122</v>
      </c>
      <c r="AB135" s="623" t="s">
        <v>122</v>
      </c>
      <c r="AC135" s="623" t="s">
        <v>122</v>
      </c>
      <c r="AD135" s="623">
        <f t="shared" si="21"/>
        <v>43432</v>
      </c>
      <c r="AE135" s="623" t="s">
        <v>122</v>
      </c>
      <c r="AF135" s="623" t="s">
        <v>122</v>
      </c>
      <c r="AG135" s="623" t="s">
        <v>122</v>
      </c>
      <c r="AH135" s="623">
        <f t="shared" si="22"/>
        <v>43444</v>
      </c>
      <c r="AI135" s="623" t="s">
        <v>122</v>
      </c>
      <c r="AJ135" s="218" t="s">
        <v>122</v>
      </c>
      <c r="AK135" s="772"/>
      <c r="AL135" s="772"/>
      <c r="AM135" s="772"/>
      <c r="AN135" s="795"/>
      <c r="AO135" s="11"/>
      <c r="AP135" s="12"/>
    </row>
    <row r="136" spans="1:42" ht="51.75" thickBot="1" x14ac:dyDescent="0.25">
      <c r="B136" s="189" t="s">
        <v>127</v>
      </c>
      <c r="C136" s="197"/>
      <c r="D136" s="197" t="s">
        <v>111</v>
      </c>
      <c r="E136" s="190" t="s">
        <v>128</v>
      </c>
      <c r="F136" s="191" t="s">
        <v>519</v>
      </c>
      <c r="G136" s="192" t="s">
        <v>188</v>
      </c>
      <c r="H136" s="190"/>
      <c r="I136" s="190"/>
      <c r="J136" s="190" t="s">
        <v>106</v>
      </c>
      <c r="K136" s="190"/>
      <c r="L136" s="600">
        <f>IFERROR(ROUND(VLOOKUP(G136,G38:M89,7,FALSE)*10%,0),0)</f>
        <v>0</v>
      </c>
      <c r="M136" s="190"/>
      <c r="N136" s="190" t="s">
        <v>99</v>
      </c>
      <c r="O136" s="194" t="s">
        <v>79</v>
      </c>
      <c r="P136" s="484" t="s">
        <v>122</v>
      </c>
      <c r="Q136" s="623" t="s">
        <v>122</v>
      </c>
      <c r="R136" s="623" t="s">
        <v>122</v>
      </c>
      <c r="S136" s="623" t="s">
        <v>122</v>
      </c>
      <c r="T136" s="623" t="s">
        <v>122</v>
      </c>
      <c r="U136" s="623" t="s">
        <v>122</v>
      </c>
      <c r="V136" s="623" t="s">
        <v>122</v>
      </c>
      <c r="W136" s="623" t="s">
        <v>122</v>
      </c>
      <c r="X136" s="623" t="s">
        <v>122</v>
      </c>
      <c r="Y136" s="623" t="s">
        <v>122</v>
      </c>
      <c r="Z136" s="623" t="s">
        <v>122</v>
      </c>
      <c r="AA136" s="623" t="s">
        <v>122</v>
      </c>
      <c r="AB136" s="623" t="s">
        <v>122</v>
      </c>
      <c r="AC136" s="623" t="s">
        <v>122</v>
      </c>
      <c r="AD136" s="623" t="s">
        <v>122</v>
      </c>
      <c r="AE136" s="623" t="s">
        <v>122</v>
      </c>
      <c r="AF136" s="623" t="s">
        <v>122</v>
      </c>
      <c r="AG136" s="623" t="s">
        <v>122</v>
      </c>
      <c r="AH136" s="623" t="str">
        <f t="shared" si="22"/>
        <v>N/A</v>
      </c>
      <c r="AI136" s="623" t="s">
        <v>122</v>
      </c>
      <c r="AJ136" s="218" t="s">
        <v>122</v>
      </c>
      <c r="AK136" s="772"/>
      <c r="AL136" s="772"/>
      <c r="AM136" s="772"/>
      <c r="AN136" s="795"/>
      <c r="AO136" s="11"/>
      <c r="AP136" s="12"/>
    </row>
    <row r="137" spans="1:42" ht="51.75" thickBot="1" x14ac:dyDescent="0.25">
      <c r="A137" s="241"/>
      <c r="B137" s="189" t="s">
        <v>127</v>
      </c>
      <c r="C137" s="197"/>
      <c r="D137" s="197" t="s">
        <v>111</v>
      </c>
      <c r="E137" s="190" t="s">
        <v>128</v>
      </c>
      <c r="F137" s="191" t="s">
        <v>521</v>
      </c>
      <c r="G137" s="192" t="s">
        <v>191</v>
      </c>
      <c r="H137" s="190"/>
      <c r="I137" s="190"/>
      <c r="J137" s="190" t="s">
        <v>106</v>
      </c>
      <c r="K137" s="190"/>
      <c r="L137" s="680">
        <f>+M50*9%</f>
        <v>1080000000</v>
      </c>
      <c r="M137" s="190"/>
      <c r="N137" s="190" t="s">
        <v>99</v>
      </c>
      <c r="O137" s="194" t="s">
        <v>79</v>
      </c>
      <c r="P137" s="484" t="s">
        <v>122</v>
      </c>
      <c r="Q137" s="623" t="s">
        <v>122</v>
      </c>
      <c r="R137" s="623" t="s">
        <v>122</v>
      </c>
      <c r="S137" s="623" t="s">
        <v>122</v>
      </c>
      <c r="T137" s="623" t="s">
        <v>122</v>
      </c>
      <c r="U137" s="623" t="s">
        <v>122</v>
      </c>
      <c r="V137" s="623" t="s">
        <v>122</v>
      </c>
      <c r="W137" s="623" t="s">
        <v>122</v>
      </c>
      <c r="X137" s="623">
        <f>+Z137-12</f>
        <v>43423</v>
      </c>
      <c r="Y137" s="623" t="s">
        <v>122</v>
      </c>
      <c r="Z137" s="623">
        <f>+AD137-2</f>
        <v>43435</v>
      </c>
      <c r="AA137" s="623" t="s">
        <v>122</v>
      </c>
      <c r="AB137" s="623" t="s">
        <v>122</v>
      </c>
      <c r="AC137" s="623" t="s">
        <v>122</v>
      </c>
      <c r="AD137" s="623">
        <f>+AH137-12</f>
        <v>43437</v>
      </c>
      <c r="AE137" s="623" t="s">
        <v>122</v>
      </c>
      <c r="AF137" s="623" t="s">
        <v>122</v>
      </c>
      <c r="AG137" s="623" t="s">
        <v>122</v>
      </c>
      <c r="AH137" s="623">
        <f t="shared" si="22"/>
        <v>43449</v>
      </c>
      <c r="AI137" s="623" t="s">
        <v>122</v>
      </c>
      <c r="AJ137" s="218" t="s">
        <v>122</v>
      </c>
      <c r="AK137" s="772"/>
      <c r="AL137" s="772"/>
      <c r="AM137" s="772"/>
      <c r="AN137" s="795"/>
      <c r="AO137" s="11"/>
      <c r="AP137" s="12"/>
    </row>
    <row r="138" spans="1:42" ht="51.75" thickBot="1" x14ac:dyDescent="0.25">
      <c r="B138" s="189" t="s">
        <v>127</v>
      </c>
      <c r="C138" s="197"/>
      <c r="D138" s="197" t="s">
        <v>111</v>
      </c>
      <c r="E138" s="190" t="s">
        <v>128</v>
      </c>
      <c r="F138" s="191" t="s">
        <v>522</v>
      </c>
      <c r="G138" s="192" t="s">
        <v>192</v>
      </c>
      <c r="H138" s="190"/>
      <c r="I138" s="190"/>
      <c r="J138" s="190" t="s">
        <v>106</v>
      </c>
      <c r="K138" s="190"/>
      <c r="L138" s="193">
        <f>+M51*6%</f>
        <v>0</v>
      </c>
      <c r="M138" s="190"/>
      <c r="N138" s="190" t="s">
        <v>99</v>
      </c>
      <c r="O138" s="194" t="s">
        <v>79</v>
      </c>
      <c r="P138" s="484" t="s">
        <v>122</v>
      </c>
      <c r="Q138" s="623" t="s">
        <v>122</v>
      </c>
      <c r="R138" s="623" t="s">
        <v>122</v>
      </c>
      <c r="S138" s="623" t="s">
        <v>122</v>
      </c>
      <c r="T138" s="623" t="s">
        <v>122</v>
      </c>
      <c r="U138" s="623" t="s">
        <v>122</v>
      </c>
      <c r="V138" s="623" t="s">
        <v>122</v>
      </c>
      <c r="W138" s="623" t="s">
        <v>122</v>
      </c>
      <c r="X138" s="623" t="s">
        <v>122</v>
      </c>
      <c r="Y138" s="623" t="s">
        <v>122</v>
      </c>
      <c r="Z138" s="623" t="s">
        <v>122</v>
      </c>
      <c r="AA138" s="623" t="s">
        <v>122</v>
      </c>
      <c r="AB138" s="623" t="s">
        <v>122</v>
      </c>
      <c r="AC138" s="623" t="s">
        <v>122</v>
      </c>
      <c r="AD138" s="623" t="s">
        <v>122</v>
      </c>
      <c r="AE138" s="623" t="s">
        <v>122</v>
      </c>
      <c r="AF138" s="623" t="s">
        <v>122</v>
      </c>
      <c r="AG138" s="623" t="s">
        <v>122</v>
      </c>
      <c r="AH138" s="623" t="str">
        <f t="shared" si="22"/>
        <v>N/A</v>
      </c>
      <c r="AI138" s="623" t="s">
        <v>122</v>
      </c>
      <c r="AJ138" s="218" t="s">
        <v>122</v>
      </c>
      <c r="AK138" s="772"/>
      <c r="AL138" s="772"/>
      <c r="AM138" s="772"/>
      <c r="AN138" s="795"/>
      <c r="AO138" s="11"/>
      <c r="AP138" s="12"/>
    </row>
    <row r="139" spans="1:42" ht="51.75" thickBot="1" x14ac:dyDescent="0.25">
      <c r="B139" s="189" t="s">
        <v>127</v>
      </c>
      <c r="C139" s="197"/>
      <c r="D139" s="197" t="s">
        <v>111</v>
      </c>
      <c r="E139" s="190" t="s">
        <v>128</v>
      </c>
      <c r="F139" s="191" t="s">
        <v>523</v>
      </c>
      <c r="G139" s="192" t="s">
        <v>193</v>
      </c>
      <c r="H139" s="190"/>
      <c r="I139" s="190"/>
      <c r="J139" s="190" t="s">
        <v>106</v>
      </c>
      <c r="K139" s="190"/>
      <c r="L139" s="193">
        <f>+M52*6%</f>
        <v>0</v>
      </c>
      <c r="M139" s="190"/>
      <c r="N139" s="190" t="s">
        <v>99</v>
      </c>
      <c r="O139" s="194" t="s">
        <v>79</v>
      </c>
      <c r="P139" s="484" t="s">
        <v>122</v>
      </c>
      <c r="Q139" s="623" t="s">
        <v>122</v>
      </c>
      <c r="R139" s="623" t="s">
        <v>122</v>
      </c>
      <c r="S139" s="623" t="s">
        <v>122</v>
      </c>
      <c r="T139" s="623" t="s">
        <v>122</v>
      </c>
      <c r="U139" s="623" t="s">
        <v>122</v>
      </c>
      <c r="V139" s="623" t="s">
        <v>122</v>
      </c>
      <c r="W139" s="623" t="s">
        <v>122</v>
      </c>
      <c r="X139" s="623" t="s">
        <v>122</v>
      </c>
      <c r="Y139" s="623" t="s">
        <v>122</v>
      </c>
      <c r="Z139" s="623" t="s">
        <v>122</v>
      </c>
      <c r="AA139" s="623" t="s">
        <v>122</v>
      </c>
      <c r="AB139" s="623" t="s">
        <v>122</v>
      </c>
      <c r="AC139" s="623" t="s">
        <v>122</v>
      </c>
      <c r="AD139" s="623" t="s">
        <v>122</v>
      </c>
      <c r="AE139" s="623" t="s">
        <v>122</v>
      </c>
      <c r="AF139" s="623" t="s">
        <v>122</v>
      </c>
      <c r="AG139" s="623" t="s">
        <v>122</v>
      </c>
      <c r="AH139" s="623" t="str">
        <f t="shared" si="22"/>
        <v>N/A</v>
      </c>
      <c r="AI139" s="623" t="s">
        <v>122</v>
      </c>
      <c r="AJ139" s="218" t="s">
        <v>122</v>
      </c>
      <c r="AK139" s="772"/>
      <c r="AL139" s="772"/>
      <c r="AM139" s="772"/>
      <c r="AN139" s="795"/>
      <c r="AO139" s="11"/>
      <c r="AP139" s="12"/>
    </row>
    <row r="140" spans="1:42" ht="51.75" thickBot="1" x14ac:dyDescent="0.25">
      <c r="B140" s="189" t="s">
        <v>127</v>
      </c>
      <c r="C140" s="197"/>
      <c r="D140" s="197" t="s">
        <v>111</v>
      </c>
      <c r="E140" s="190" t="s">
        <v>128</v>
      </c>
      <c r="F140" s="191" t="s">
        <v>524</v>
      </c>
      <c r="G140" s="192" t="s">
        <v>194</v>
      </c>
      <c r="H140" s="190"/>
      <c r="I140" s="190"/>
      <c r="J140" s="190" t="s">
        <v>106</v>
      </c>
      <c r="K140" s="190"/>
      <c r="L140" s="193">
        <f>+M53*6%</f>
        <v>0</v>
      </c>
      <c r="M140" s="190"/>
      <c r="N140" s="190" t="s">
        <v>99</v>
      </c>
      <c r="O140" s="194" t="s">
        <v>79</v>
      </c>
      <c r="P140" s="484" t="s">
        <v>122</v>
      </c>
      <c r="Q140" s="623" t="s">
        <v>122</v>
      </c>
      <c r="R140" s="623" t="s">
        <v>122</v>
      </c>
      <c r="S140" s="623" t="s">
        <v>122</v>
      </c>
      <c r="T140" s="623" t="s">
        <v>122</v>
      </c>
      <c r="U140" s="623" t="s">
        <v>122</v>
      </c>
      <c r="V140" s="623" t="s">
        <v>122</v>
      </c>
      <c r="W140" s="623" t="s">
        <v>122</v>
      </c>
      <c r="X140" s="623" t="s">
        <v>122</v>
      </c>
      <c r="Y140" s="623" t="s">
        <v>122</v>
      </c>
      <c r="Z140" s="623" t="s">
        <v>122</v>
      </c>
      <c r="AA140" s="623" t="s">
        <v>122</v>
      </c>
      <c r="AB140" s="623" t="s">
        <v>122</v>
      </c>
      <c r="AC140" s="623" t="s">
        <v>122</v>
      </c>
      <c r="AD140" s="623" t="s">
        <v>122</v>
      </c>
      <c r="AE140" s="623" t="s">
        <v>122</v>
      </c>
      <c r="AF140" s="623" t="s">
        <v>122</v>
      </c>
      <c r="AG140" s="623" t="s">
        <v>122</v>
      </c>
      <c r="AH140" s="623" t="str">
        <f t="shared" si="22"/>
        <v>N/A</v>
      </c>
      <c r="AI140" s="623" t="s">
        <v>122</v>
      </c>
      <c r="AJ140" s="218" t="s">
        <v>122</v>
      </c>
      <c r="AK140" s="772"/>
      <c r="AL140" s="772"/>
      <c r="AM140" s="772"/>
      <c r="AN140" s="795"/>
      <c r="AO140" s="11"/>
      <c r="AP140" s="12"/>
    </row>
    <row r="141" spans="1:42" ht="51.75" thickBot="1" x14ac:dyDescent="0.25">
      <c r="B141" s="189" t="s">
        <v>127</v>
      </c>
      <c r="C141" s="197"/>
      <c r="D141" s="197" t="s">
        <v>111</v>
      </c>
      <c r="E141" s="190" t="s">
        <v>128</v>
      </c>
      <c r="F141" s="191" t="s">
        <v>504</v>
      </c>
      <c r="G141" s="192" t="s">
        <v>171</v>
      </c>
      <c r="H141" s="190"/>
      <c r="I141" s="190"/>
      <c r="J141" s="190" t="s">
        <v>106</v>
      </c>
      <c r="K141" s="190"/>
      <c r="L141" s="193">
        <f>IFERROR(ROUND(VLOOKUP(G141,G14:M66,7,FALSE)*5%,0),0)</f>
        <v>0</v>
      </c>
      <c r="M141" s="190"/>
      <c r="N141" s="190" t="s">
        <v>99</v>
      </c>
      <c r="O141" s="194" t="s">
        <v>79</v>
      </c>
      <c r="P141" s="484" t="s">
        <v>122</v>
      </c>
      <c r="Q141" s="623" t="s">
        <v>122</v>
      </c>
      <c r="R141" s="623" t="s">
        <v>122</v>
      </c>
      <c r="S141" s="623" t="s">
        <v>122</v>
      </c>
      <c r="T141" s="623" t="s">
        <v>122</v>
      </c>
      <c r="U141" s="623" t="s">
        <v>122</v>
      </c>
      <c r="V141" s="623" t="s">
        <v>122</v>
      </c>
      <c r="W141" s="623" t="s">
        <v>122</v>
      </c>
      <c r="X141" s="623" t="s">
        <v>122</v>
      </c>
      <c r="Y141" s="623" t="s">
        <v>122</v>
      </c>
      <c r="Z141" s="623" t="s">
        <v>122</v>
      </c>
      <c r="AA141" s="623" t="s">
        <v>122</v>
      </c>
      <c r="AB141" s="623" t="s">
        <v>122</v>
      </c>
      <c r="AC141" s="623" t="s">
        <v>122</v>
      </c>
      <c r="AD141" s="623" t="s">
        <v>122</v>
      </c>
      <c r="AE141" s="623" t="s">
        <v>122</v>
      </c>
      <c r="AF141" s="623" t="s">
        <v>122</v>
      </c>
      <c r="AG141" s="623" t="s">
        <v>122</v>
      </c>
      <c r="AH141" s="623" t="s">
        <v>122</v>
      </c>
      <c r="AI141" s="623" t="s">
        <v>122</v>
      </c>
      <c r="AJ141" s="218" t="s">
        <v>122</v>
      </c>
      <c r="AK141" s="772"/>
      <c r="AL141" s="772"/>
      <c r="AM141" s="772"/>
      <c r="AN141" s="795" t="str">
        <f>+AI54</f>
        <v>PONTÓN CONSTRUIDO CON LOS RECURSOS DEL CONTRATO de los ID (97,98,99).</v>
      </c>
      <c r="AO141" s="11"/>
      <c r="AP141" s="12"/>
    </row>
    <row r="142" spans="1:42" ht="51.75" thickBot="1" x14ac:dyDescent="0.25">
      <c r="B142" s="189" t="s">
        <v>127</v>
      </c>
      <c r="C142" s="197"/>
      <c r="D142" s="197" t="s">
        <v>111</v>
      </c>
      <c r="E142" s="190" t="s">
        <v>128</v>
      </c>
      <c r="F142" s="191" t="s">
        <v>505</v>
      </c>
      <c r="G142" s="192" t="s">
        <v>172</v>
      </c>
      <c r="H142" s="190"/>
      <c r="I142" s="190"/>
      <c r="J142" s="190" t="s">
        <v>106</v>
      </c>
      <c r="K142" s="190"/>
      <c r="L142" s="193">
        <f>IFERROR(ROUND(VLOOKUP(G142,G17:M66,7,FALSE)*5%,0),0)</f>
        <v>0</v>
      </c>
      <c r="M142" s="190"/>
      <c r="N142" s="190" t="s">
        <v>99</v>
      </c>
      <c r="O142" s="194" t="s">
        <v>79</v>
      </c>
      <c r="P142" s="484" t="s">
        <v>122</v>
      </c>
      <c r="Q142" s="623" t="s">
        <v>122</v>
      </c>
      <c r="R142" s="623" t="s">
        <v>122</v>
      </c>
      <c r="S142" s="623" t="s">
        <v>122</v>
      </c>
      <c r="T142" s="623" t="s">
        <v>122</v>
      </c>
      <c r="U142" s="623" t="s">
        <v>122</v>
      </c>
      <c r="V142" s="623" t="s">
        <v>122</v>
      </c>
      <c r="W142" s="623" t="s">
        <v>122</v>
      </c>
      <c r="X142" s="623" t="s">
        <v>122</v>
      </c>
      <c r="Y142" s="623" t="s">
        <v>122</v>
      </c>
      <c r="Z142" s="623" t="s">
        <v>122</v>
      </c>
      <c r="AA142" s="623" t="s">
        <v>122</v>
      </c>
      <c r="AB142" s="623" t="s">
        <v>122</v>
      </c>
      <c r="AC142" s="623" t="s">
        <v>122</v>
      </c>
      <c r="AD142" s="623" t="s">
        <v>122</v>
      </c>
      <c r="AE142" s="623" t="s">
        <v>122</v>
      </c>
      <c r="AF142" s="623" t="s">
        <v>122</v>
      </c>
      <c r="AG142" s="623" t="s">
        <v>122</v>
      </c>
      <c r="AH142" s="623" t="s">
        <v>122</v>
      </c>
      <c r="AI142" s="623" t="s">
        <v>122</v>
      </c>
      <c r="AJ142" s="218" t="s">
        <v>122</v>
      </c>
      <c r="AK142" s="772"/>
      <c r="AL142" s="772"/>
      <c r="AM142" s="772"/>
      <c r="AN142" s="795" t="str">
        <f>+AI55</f>
        <v>PONTÓN CONSTRUIDO CON LOS RECURSOS DEL CONTRATO LP 005-2011.</v>
      </c>
      <c r="AO142" s="11"/>
      <c r="AP142" s="12"/>
    </row>
    <row r="143" spans="1:42" ht="51.75" thickBot="1" x14ac:dyDescent="0.25">
      <c r="B143" s="189" t="s">
        <v>127</v>
      </c>
      <c r="C143" s="197"/>
      <c r="D143" s="197" t="s">
        <v>111</v>
      </c>
      <c r="E143" s="190" t="s">
        <v>128</v>
      </c>
      <c r="F143" s="191" t="s">
        <v>505</v>
      </c>
      <c r="G143" s="192" t="s">
        <v>173</v>
      </c>
      <c r="H143" s="190"/>
      <c r="I143" s="190"/>
      <c r="J143" s="190" t="s">
        <v>106</v>
      </c>
      <c r="K143" s="190"/>
      <c r="L143" s="193">
        <f>IFERROR(ROUND(VLOOKUP(G143,G19:M68,7,FALSE)*5%,0),0)</f>
        <v>0</v>
      </c>
      <c r="M143" s="190"/>
      <c r="N143" s="190" t="s">
        <v>99</v>
      </c>
      <c r="O143" s="194" t="s">
        <v>79</v>
      </c>
      <c r="P143" s="484" t="s">
        <v>122</v>
      </c>
      <c r="Q143" s="623" t="s">
        <v>122</v>
      </c>
      <c r="R143" s="623" t="s">
        <v>122</v>
      </c>
      <c r="S143" s="623" t="s">
        <v>122</v>
      </c>
      <c r="T143" s="623" t="s">
        <v>122</v>
      </c>
      <c r="U143" s="623" t="s">
        <v>122</v>
      </c>
      <c r="V143" s="623" t="s">
        <v>122</v>
      </c>
      <c r="W143" s="623" t="s">
        <v>122</v>
      </c>
      <c r="X143" s="623" t="s">
        <v>122</v>
      </c>
      <c r="Y143" s="623" t="s">
        <v>122</v>
      </c>
      <c r="Z143" s="623" t="s">
        <v>122</v>
      </c>
      <c r="AA143" s="623" t="s">
        <v>122</v>
      </c>
      <c r="AB143" s="623" t="s">
        <v>122</v>
      </c>
      <c r="AC143" s="623" t="s">
        <v>122</v>
      </c>
      <c r="AD143" s="623" t="s">
        <v>122</v>
      </c>
      <c r="AE143" s="623" t="s">
        <v>122</v>
      </c>
      <c r="AF143" s="623" t="s">
        <v>122</v>
      </c>
      <c r="AG143" s="623" t="s">
        <v>122</v>
      </c>
      <c r="AH143" s="623" t="s">
        <v>122</v>
      </c>
      <c r="AI143" s="623" t="s">
        <v>122</v>
      </c>
      <c r="AJ143" s="218" t="s">
        <v>122</v>
      </c>
      <c r="AK143" s="772"/>
      <c r="AL143" s="772"/>
      <c r="AM143" s="772"/>
      <c r="AN143" s="795" t="str">
        <f>+AI56</f>
        <v>PONTÓN CONSTRUIDO CON LOS RECURSOS DEL CONTRATO LP 005-2011.</v>
      </c>
      <c r="AO143" s="11"/>
      <c r="AP143" s="12"/>
    </row>
    <row r="144" spans="1:42" ht="51.75" thickBot="1" x14ac:dyDescent="0.25">
      <c r="B144" s="189" t="s">
        <v>127</v>
      </c>
      <c r="C144" s="197"/>
      <c r="D144" s="197" t="s">
        <v>111</v>
      </c>
      <c r="E144" s="190" t="s">
        <v>128</v>
      </c>
      <c r="F144" s="191" t="s">
        <v>505</v>
      </c>
      <c r="G144" s="192" t="s">
        <v>174</v>
      </c>
      <c r="H144" s="190"/>
      <c r="I144" s="190"/>
      <c r="J144" s="190" t="s">
        <v>106</v>
      </c>
      <c r="K144" s="190"/>
      <c r="L144" s="193">
        <f>IFERROR(ROUND(VLOOKUP(G144,G19:M69,7,FALSE)*5%,0),0)</f>
        <v>0</v>
      </c>
      <c r="M144" s="190"/>
      <c r="N144" s="190" t="s">
        <v>99</v>
      </c>
      <c r="O144" s="194" t="s">
        <v>79</v>
      </c>
      <c r="P144" s="484" t="s">
        <v>122</v>
      </c>
      <c r="Q144" s="623" t="s">
        <v>122</v>
      </c>
      <c r="R144" s="623" t="s">
        <v>122</v>
      </c>
      <c r="S144" s="623" t="s">
        <v>122</v>
      </c>
      <c r="T144" s="623" t="s">
        <v>122</v>
      </c>
      <c r="U144" s="623" t="s">
        <v>122</v>
      </c>
      <c r="V144" s="623" t="s">
        <v>122</v>
      </c>
      <c r="W144" s="623" t="s">
        <v>122</v>
      </c>
      <c r="X144" s="623" t="s">
        <v>122</v>
      </c>
      <c r="Y144" s="623" t="s">
        <v>122</v>
      </c>
      <c r="Z144" s="623" t="s">
        <v>122</v>
      </c>
      <c r="AA144" s="623" t="s">
        <v>122</v>
      </c>
      <c r="AB144" s="623" t="s">
        <v>122</v>
      </c>
      <c r="AC144" s="623" t="s">
        <v>122</v>
      </c>
      <c r="AD144" s="623" t="s">
        <v>122</v>
      </c>
      <c r="AE144" s="623" t="s">
        <v>122</v>
      </c>
      <c r="AF144" s="623" t="s">
        <v>122</v>
      </c>
      <c r="AG144" s="623" t="s">
        <v>122</v>
      </c>
      <c r="AH144" s="623" t="s">
        <v>122</v>
      </c>
      <c r="AI144" s="623" t="s">
        <v>122</v>
      </c>
      <c r="AJ144" s="218" t="s">
        <v>122</v>
      </c>
      <c r="AK144" s="772"/>
      <c r="AL144" s="772"/>
      <c r="AM144" s="772"/>
      <c r="AN144" s="795" t="str">
        <f>+AI57</f>
        <v>PONTÓN CONSTRUIDO CON LOS RECURSOS DEL CONTRATO LP 005-2011.</v>
      </c>
      <c r="AO144" s="11"/>
      <c r="AP144" s="12"/>
    </row>
    <row r="145" spans="2:42" ht="51.75" thickBot="1" x14ac:dyDescent="0.25">
      <c r="B145" s="189" t="s">
        <v>127</v>
      </c>
      <c r="C145" s="197"/>
      <c r="D145" s="197" t="s">
        <v>111</v>
      </c>
      <c r="E145" s="190" t="s">
        <v>128</v>
      </c>
      <c r="F145" s="191" t="s">
        <v>506</v>
      </c>
      <c r="G145" s="192" t="s">
        <v>175</v>
      </c>
      <c r="H145" s="190"/>
      <c r="I145" s="190"/>
      <c r="J145" s="190" t="s">
        <v>106</v>
      </c>
      <c r="K145" s="190"/>
      <c r="L145" s="193">
        <f>IFERROR(ROUND(VLOOKUP(G145,G29:M70,7,FALSE)*5%,0),0)</f>
        <v>0</v>
      </c>
      <c r="M145" s="190"/>
      <c r="N145" s="190" t="s">
        <v>99</v>
      </c>
      <c r="O145" s="194" t="s">
        <v>79</v>
      </c>
      <c r="P145" s="484" t="s">
        <v>122</v>
      </c>
      <c r="Q145" s="623" t="s">
        <v>122</v>
      </c>
      <c r="R145" s="623" t="s">
        <v>122</v>
      </c>
      <c r="S145" s="623" t="s">
        <v>122</v>
      </c>
      <c r="T145" s="623" t="s">
        <v>122</v>
      </c>
      <c r="U145" s="623" t="s">
        <v>122</v>
      </c>
      <c r="V145" s="623" t="s">
        <v>122</v>
      </c>
      <c r="W145" s="623" t="s">
        <v>122</v>
      </c>
      <c r="X145" s="623" t="s">
        <v>122</v>
      </c>
      <c r="Y145" s="623" t="s">
        <v>122</v>
      </c>
      <c r="Z145" s="623" t="s">
        <v>122</v>
      </c>
      <c r="AA145" s="623" t="s">
        <v>122</v>
      </c>
      <c r="AB145" s="623" t="s">
        <v>122</v>
      </c>
      <c r="AC145" s="623" t="s">
        <v>122</v>
      </c>
      <c r="AD145" s="623" t="s">
        <v>122</v>
      </c>
      <c r="AE145" s="623" t="s">
        <v>122</v>
      </c>
      <c r="AF145" s="623" t="s">
        <v>122</v>
      </c>
      <c r="AG145" s="623" t="s">
        <v>122</v>
      </c>
      <c r="AH145" s="623" t="s">
        <v>122</v>
      </c>
      <c r="AI145" s="623" t="s">
        <v>122</v>
      </c>
      <c r="AJ145" s="218" t="s">
        <v>122</v>
      </c>
      <c r="AK145" s="772"/>
      <c r="AL145" s="772"/>
      <c r="AM145" s="772"/>
      <c r="AN145" s="795" t="str">
        <f>+AI58</f>
        <v>PONTÓN CONSTRUIDO CON RECURSOS DEL CONTRATO DE OBRA DE LOS ID (97,98,99).</v>
      </c>
      <c r="AO145" s="11"/>
      <c r="AP145" s="12"/>
    </row>
    <row r="146" spans="2:42" ht="51.75" thickBot="1" x14ac:dyDescent="0.25">
      <c r="B146" s="189" t="s">
        <v>127</v>
      </c>
      <c r="C146" s="190"/>
      <c r="D146" s="190" t="s">
        <v>111</v>
      </c>
      <c r="E146" s="190" t="s">
        <v>128</v>
      </c>
      <c r="F146" s="191" t="s">
        <v>508</v>
      </c>
      <c r="G146" s="192" t="s">
        <v>176</v>
      </c>
      <c r="H146" s="190"/>
      <c r="I146" s="190"/>
      <c r="J146" s="190" t="s">
        <v>106</v>
      </c>
      <c r="K146" s="190"/>
      <c r="L146" s="193">
        <f>IFERROR(ROUND(VLOOKUP(G146,G14:M66,7,FALSE)*5%,0),0)</f>
        <v>0</v>
      </c>
      <c r="M146" s="193"/>
      <c r="N146" s="190" t="s">
        <v>99</v>
      </c>
      <c r="O146" s="190" t="s">
        <v>79</v>
      </c>
      <c r="P146" s="818" t="s">
        <v>122</v>
      </c>
      <c r="Q146" s="793" t="s">
        <v>122</v>
      </c>
      <c r="R146" s="783" t="s">
        <v>122</v>
      </c>
      <c r="S146" s="783" t="s">
        <v>122</v>
      </c>
      <c r="T146" s="783" t="s">
        <v>122</v>
      </c>
      <c r="U146" s="783" t="s">
        <v>122</v>
      </c>
      <c r="V146" s="783" t="s">
        <v>122</v>
      </c>
      <c r="W146" s="783" t="s">
        <v>122</v>
      </c>
      <c r="X146" s="783" t="s">
        <v>122</v>
      </c>
      <c r="Y146" s="783" t="s">
        <v>122</v>
      </c>
      <c r="Z146" s="783" t="s">
        <v>122</v>
      </c>
      <c r="AA146" s="783" t="s">
        <v>122</v>
      </c>
      <c r="AB146" s="783" t="s">
        <v>122</v>
      </c>
      <c r="AC146" s="783" t="s">
        <v>122</v>
      </c>
      <c r="AD146" s="783" t="s">
        <v>122</v>
      </c>
      <c r="AE146" s="783" t="s">
        <v>122</v>
      </c>
      <c r="AF146" s="819" t="s">
        <v>122</v>
      </c>
      <c r="AG146" s="820" t="s">
        <v>122</v>
      </c>
      <c r="AH146" s="623">
        <v>41188</v>
      </c>
      <c r="AI146" s="821" t="s">
        <v>122</v>
      </c>
      <c r="AJ146" s="295" t="s">
        <v>122</v>
      </c>
      <c r="AK146" s="822"/>
      <c r="AL146" s="822"/>
      <c r="AM146" s="822"/>
      <c r="AN146" s="823"/>
      <c r="AO146" s="11"/>
      <c r="AP146" s="12"/>
    </row>
    <row r="147" spans="2:42" ht="51.75" thickBot="1" x14ac:dyDescent="0.25">
      <c r="B147" s="3" t="s">
        <v>127</v>
      </c>
      <c r="C147" s="4"/>
      <c r="D147" s="4" t="s">
        <v>111</v>
      </c>
      <c r="E147" s="5" t="s">
        <v>128</v>
      </c>
      <c r="F147" s="191" t="s">
        <v>509</v>
      </c>
      <c r="G147" s="192" t="s">
        <v>177</v>
      </c>
      <c r="H147" s="5"/>
      <c r="I147" s="5"/>
      <c r="J147" s="5" t="s">
        <v>106</v>
      </c>
      <c r="K147" s="5"/>
      <c r="L147" s="193">
        <f>IFERROR(ROUND(VLOOKUP(G147,G17:M66,7,FALSE)*5%,0),0)</f>
        <v>0</v>
      </c>
      <c r="M147" s="5"/>
      <c r="N147" s="5" t="s">
        <v>99</v>
      </c>
      <c r="O147" s="2" t="s">
        <v>79</v>
      </c>
      <c r="P147" s="824" t="s">
        <v>122</v>
      </c>
      <c r="Q147" s="797" t="s">
        <v>122</v>
      </c>
      <c r="R147" s="797" t="s">
        <v>122</v>
      </c>
      <c r="S147" s="797" t="s">
        <v>122</v>
      </c>
      <c r="T147" s="797" t="s">
        <v>122</v>
      </c>
      <c r="U147" s="797" t="s">
        <v>122</v>
      </c>
      <c r="V147" s="797" t="s">
        <v>122</v>
      </c>
      <c r="W147" s="797" t="s">
        <v>122</v>
      </c>
      <c r="X147" s="797" t="s">
        <v>122</v>
      </c>
      <c r="Y147" s="797" t="s">
        <v>122</v>
      </c>
      <c r="Z147" s="797" t="s">
        <v>122</v>
      </c>
      <c r="AA147" s="797" t="s">
        <v>122</v>
      </c>
      <c r="AB147" s="797" t="s">
        <v>122</v>
      </c>
      <c r="AC147" s="797" t="s">
        <v>122</v>
      </c>
      <c r="AD147" s="797" t="s">
        <v>122</v>
      </c>
      <c r="AE147" s="797" t="s">
        <v>122</v>
      </c>
      <c r="AF147" s="797" t="s">
        <v>122</v>
      </c>
      <c r="AG147" s="797" t="s">
        <v>122</v>
      </c>
      <c r="AH147" s="623">
        <f>+AH146</f>
        <v>41188</v>
      </c>
      <c r="AI147" s="797" t="s">
        <v>122</v>
      </c>
      <c r="AJ147" s="295" t="s">
        <v>122</v>
      </c>
      <c r="AK147" s="822"/>
      <c r="AL147" s="822"/>
      <c r="AM147" s="822"/>
      <c r="AN147" s="823"/>
      <c r="AO147" s="11"/>
      <c r="AP147" s="12"/>
    </row>
    <row r="148" spans="2:42" ht="51.75" thickBot="1" x14ac:dyDescent="0.25">
      <c r="B148" s="189" t="s">
        <v>127</v>
      </c>
      <c r="C148" s="190"/>
      <c r="D148" s="190" t="s">
        <v>111</v>
      </c>
      <c r="E148" s="190" t="s">
        <v>128</v>
      </c>
      <c r="F148" s="191" t="s">
        <v>510</v>
      </c>
      <c r="G148" s="192" t="s">
        <v>178</v>
      </c>
      <c r="H148" s="190"/>
      <c r="I148" s="190"/>
      <c r="J148" s="190" t="s">
        <v>106</v>
      </c>
      <c r="K148" s="190"/>
      <c r="L148" s="193">
        <f>IFERROR(ROUND(VLOOKUP(G148,G19:M69,7,FALSE)*5%,0),0)</f>
        <v>0</v>
      </c>
      <c r="M148" s="193"/>
      <c r="N148" s="190" t="s">
        <v>99</v>
      </c>
      <c r="O148" s="190" t="s">
        <v>79</v>
      </c>
      <c r="P148" s="818" t="s">
        <v>122</v>
      </c>
      <c r="Q148" s="793" t="s">
        <v>122</v>
      </c>
      <c r="R148" s="783" t="s">
        <v>122</v>
      </c>
      <c r="S148" s="783" t="s">
        <v>122</v>
      </c>
      <c r="T148" s="783" t="s">
        <v>122</v>
      </c>
      <c r="U148" s="783" t="s">
        <v>122</v>
      </c>
      <c r="V148" s="783" t="s">
        <v>122</v>
      </c>
      <c r="W148" s="783" t="s">
        <v>122</v>
      </c>
      <c r="X148" s="783">
        <v>41432</v>
      </c>
      <c r="Y148" s="783" t="s">
        <v>122</v>
      </c>
      <c r="Z148" s="783" t="e">
        <f>+AD148-2</f>
        <v>#VALUE!</v>
      </c>
      <c r="AA148" s="783" t="s">
        <v>122</v>
      </c>
      <c r="AB148" s="783" t="s">
        <v>122</v>
      </c>
      <c r="AC148" s="783" t="s">
        <v>122</v>
      </c>
      <c r="AD148" s="783" t="e">
        <f>+AH148-12</f>
        <v>#VALUE!</v>
      </c>
      <c r="AE148" s="783" t="s">
        <v>122</v>
      </c>
      <c r="AF148" s="819" t="s">
        <v>122</v>
      </c>
      <c r="AG148" s="820" t="s">
        <v>122</v>
      </c>
      <c r="AH148" s="623" t="str">
        <f>+VLOOKUP($G148,obra,23,FALSE)</f>
        <v>N/A</v>
      </c>
      <c r="AI148" s="821" t="s">
        <v>122</v>
      </c>
      <c r="AJ148" s="295" t="s">
        <v>122</v>
      </c>
      <c r="AK148" s="822"/>
      <c r="AL148" s="822"/>
      <c r="AM148" s="822"/>
      <c r="AN148" s="823"/>
      <c r="AO148" s="11"/>
      <c r="AP148" s="12"/>
    </row>
    <row r="149" spans="2:42" ht="51.75" thickBot="1" x14ac:dyDescent="0.25">
      <c r="B149" s="189" t="s">
        <v>127</v>
      </c>
      <c r="C149" s="190"/>
      <c r="D149" s="190" t="s">
        <v>111</v>
      </c>
      <c r="E149" s="190" t="s">
        <v>128</v>
      </c>
      <c r="F149" s="191" t="s">
        <v>511</v>
      </c>
      <c r="G149" s="192" t="s">
        <v>179</v>
      </c>
      <c r="H149" s="190"/>
      <c r="I149" s="190"/>
      <c r="J149" s="190" t="s">
        <v>106</v>
      </c>
      <c r="K149" s="190"/>
      <c r="L149" s="193">
        <f>IFERROR(ROUND(VLOOKUP(G149,G29:M70,7,FALSE)*5%,0),0)</f>
        <v>0</v>
      </c>
      <c r="M149" s="193"/>
      <c r="N149" s="190" t="s">
        <v>99</v>
      </c>
      <c r="O149" s="190" t="s">
        <v>79</v>
      </c>
      <c r="P149" s="818" t="s">
        <v>122</v>
      </c>
      <c r="Q149" s="793" t="s">
        <v>122</v>
      </c>
      <c r="R149" s="783" t="s">
        <v>122</v>
      </c>
      <c r="S149" s="783" t="s">
        <v>122</v>
      </c>
      <c r="T149" s="783" t="s">
        <v>122</v>
      </c>
      <c r="U149" s="783" t="s">
        <v>122</v>
      </c>
      <c r="V149" s="783" t="s">
        <v>122</v>
      </c>
      <c r="W149" s="783" t="s">
        <v>122</v>
      </c>
      <c r="X149" s="783">
        <v>41432</v>
      </c>
      <c r="Y149" s="783" t="s">
        <v>122</v>
      </c>
      <c r="Z149" s="783" t="e">
        <f>+AD149-2</f>
        <v>#VALUE!</v>
      </c>
      <c r="AA149" s="783" t="s">
        <v>122</v>
      </c>
      <c r="AB149" s="783" t="s">
        <v>122</v>
      </c>
      <c r="AC149" s="783" t="s">
        <v>122</v>
      </c>
      <c r="AD149" s="783" t="e">
        <f>+AH149-12</f>
        <v>#VALUE!</v>
      </c>
      <c r="AE149" s="783" t="s">
        <v>122</v>
      </c>
      <c r="AF149" s="819" t="s">
        <v>122</v>
      </c>
      <c r="AG149" s="820" t="s">
        <v>122</v>
      </c>
      <c r="AH149" s="623" t="str">
        <f>+VLOOKUP($G149,obra,23,FALSE)</f>
        <v>N/A</v>
      </c>
      <c r="AI149" s="821" t="s">
        <v>122</v>
      </c>
      <c r="AJ149" s="295" t="s">
        <v>122</v>
      </c>
      <c r="AK149" s="822"/>
      <c r="AL149" s="822"/>
      <c r="AM149" s="822"/>
      <c r="AN149" s="823"/>
      <c r="AO149" s="11"/>
      <c r="AP149" s="12"/>
    </row>
    <row r="150" spans="2:42" ht="51.75" thickBot="1" x14ac:dyDescent="0.25">
      <c r="B150" s="3" t="s">
        <v>127</v>
      </c>
      <c r="C150" s="4"/>
      <c r="D150" s="4" t="s">
        <v>111</v>
      </c>
      <c r="E150" s="5" t="s">
        <v>128</v>
      </c>
      <c r="F150" s="191" t="s">
        <v>512</v>
      </c>
      <c r="G150" s="192" t="s">
        <v>180</v>
      </c>
      <c r="H150" s="5"/>
      <c r="I150" s="5"/>
      <c r="J150" s="5" t="s">
        <v>106</v>
      </c>
      <c r="K150" s="5"/>
      <c r="L150" s="193">
        <f>IFERROR(ROUND(VLOOKUP(G150,G21:M75,7,FALSE)*5%,0),0)</f>
        <v>0</v>
      </c>
      <c r="M150" s="5"/>
      <c r="N150" s="5" t="s">
        <v>99</v>
      </c>
      <c r="O150" s="2" t="s">
        <v>79</v>
      </c>
      <c r="P150" s="824" t="s">
        <v>122</v>
      </c>
      <c r="Q150" s="797" t="s">
        <v>122</v>
      </c>
      <c r="R150" s="797" t="s">
        <v>122</v>
      </c>
      <c r="S150" s="797" t="s">
        <v>122</v>
      </c>
      <c r="T150" s="797" t="s">
        <v>122</v>
      </c>
      <c r="U150" s="797" t="s">
        <v>122</v>
      </c>
      <c r="V150" s="797" t="s">
        <v>122</v>
      </c>
      <c r="W150" s="797" t="s">
        <v>122</v>
      </c>
      <c r="X150" s="797" t="s">
        <v>122</v>
      </c>
      <c r="Y150" s="797" t="s">
        <v>122</v>
      </c>
      <c r="Z150" s="797" t="s">
        <v>122</v>
      </c>
      <c r="AA150" s="797" t="s">
        <v>122</v>
      </c>
      <c r="AB150" s="797" t="s">
        <v>122</v>
      </c>
      <c r="AC150" s="797" t="s">
        <v>122</v>
      </c>
      <c r="AD150" s="797" t="s">
        <v>122</v>
      </c>
      <c r="AE150" s="797" t="s">
        <v>122</v>
      </c>
      <c r="AF150" s="797" t="s">
        <v>122</v>
      </c>
      <c r="AG150" s="797" t="s">
        <v>122</v>
      </c>
      <c r="AH150" s="623">
        <f>+AH147</f>
        <v>41188</v>
      </c>
      <c r="AI150" s="797" t="s">
        <v>122</v>
      </c>
      <c r="AJ150" s="295" t="s">
        <v>122</v>
      </c>
      <c r="AK150" s="822"/>
      <c r="AL150" s="822"/>
      <c r="AM150" s="822"/>
      <c r="AN150" s="823"/>
      <c r="AO150" s="11"/>
      <c r="AP150" s="12"/>
    </row>
    <row r="151" spans="2:42" ht="51.75" thickBot="1" x14ac:dyDescent="0.25">
      <c r="B151" s="3" t="s">
        <v>127</v>
      </c>
      <c r="C151" s="4"/>
      <c r="D151" s="4" t="s">
        <v>111</v>
      </c>
      <c r="E151" s="5" t="s">
        <v>128</v>
      </c>
      <c r="F151" s="191" t="s">
        <v>513</v>
      </c>
      <c r="G151" s="192" t="s">
        <v>181</v>
      </c>
      <c r="H151" s="5"/>
      <c r="I151" s="5"/>
      <c r="J151" s="5" t="s">
        <v>106</v>
      </c>
      <c r="K151" s="5"/>
      <c r="L151" s="193">
        <f>IFERROR(ROUND(VLOOKUP(G151,G32:M80,7,FALSE)*5%,0),0)</f>
        <v>0</v>
      </c>
      <c r="M151" s="5"/>
      <c r="N151" s="5" t="s">
        <v>99</v>
      </c>
      <c r="O151" s="2" t="s">
        <v>79</v>
      </c>
      <c r="P151" s="824" t="s">
        <v>122</v>
      </c>
      <c r="Q151" s="797" t="s">
        <v>122</v>
      </c>
      <c r="R151" s="797" t="s">
        <v>122</v>
      </c>
      <c r="S151" s="797" t="s">
        <v>122</v>
      </c>
      <c r="T151" s="797" t="s">
        <v>122</v>
      </c>
      <c r="U151" s="797" t="s">
        <v>122</v>
      </c>
      <c r="V151" s="797" t="s">
        <v>122</v>
      </c>
      <c r="W151" s="797" t="s">
        <v>122</v>
      </c>
      <c r="X151" s="797" t="s">
        <v>122</v>
      </c>
      <c r="Y151" s="797" t="s">
        <v>122</v>
      </c>
      <c r="Z151" s="623" t="s">
        <v>122</v>
      </c>
      <c r="AA151" s="797" t="s">
        <v>122</v>
      </c>
      <c r="AB151" s="797" t="s">
        <v>122</v>
      </c>
      <c r="AC151" s="797" t="s">
        <v>122</v>
      </c>
      <c r="AD151" s="797" t="s">
        <v>122</v>
      </c>
      <c r="AE151" s="797" t="s">
        <v>122</v>
      </c>
      <c r="AF151" s="797" t="s">
        <v>122</v>
      </c>
      <c r="AG151" s="797" t="s">
        <v>122</v>
      </c>
      <c r="AH151" s="623">
        <f>+AH150</f>
        <v>41188</v>
      </c>
      <c r="AI151" s="797" t="s">
        <v>122</v>
      </c>
      <c r="AJ151" s="295" t="s">
        <v>122</v>
      </c>
      <c r="AK151" s="822"/>
      <c r="AL151" s="822"/>
      <c r="AM151" s="822"/>
      <c r="AN151" s="823"/>
      <c r="AO151" s="11"/>
      <c r="AP151" s="12"/>
    </row>
    <row r="152" spans="2:42" ht="51.75" thickBot="1" x14ac:dyDescent="0.25">
      <c r="B152" s="3" t="s">
        <v>127</v>
      </c>
      <c r="C152" s="4"/>
      <c r="D152" s="4" t="s">
        <v>111</v>
      </c>
      <c r="E152" s="5" t="s">
        <v>128</v>
      </c>
      <c r="F152" s="191" t="s">
        <v>514</v>
      </c>
      <c r="G152" s="192" t="s">
        <v>182</v>
      </c>
      <c r="H152" s="5"/>
      <c r="I152" s="5"/>
      <c r="J152" s="5" t="s">
        <v>106</v>
      </c>
      <c r="K152" s="5"/>
      <c r="L152" s="193">
        <f>IFERROR(ROUND(VLOOKUP(G152,G33:M81,7,FALSE)*5%,0),0)</f>
        <v>0</v>
      </c>
      <c r="M152" s="5"/>
      <c r="N152" s="5" t="s">
        <v>99</v>
      </c>
      <c r="O152" s="2" t="s">
        <v>79</v>
      </c>
      <c r="P152" s="824" t="s">
        <v>122</v>
      </c>
      <c r="Q152" s="797" t="s">
        <v>122</v>
      </c>
      <c r="R152" s="797" t="s">
        <v>122</v>
      </c>
      <c r="S152" s="797" t="s">
        <v>122</v>
      </c>
      <c r="T152" s="797" t="s">
        <v>122</v>
      </c>
      <c r="U152" s="797" t="s">
        <v>122</v>
      </c>
      <c r="V152" s="797" t="s">
        <v>122</v>
      </c>
      <c r="W152" s="797" t="s">
        <v>122</v>
      </c>
      <c r="X152" s="797" t="s">
        <v>122</v>
      </c>
      <c r="Y152" s="797" t="s">
        <v>122</v>
      </c>
      <c r="Z152" s="623" t="s">
        <v>122</v>
      </c>
      <c r="AA152" s="797" t="s">
        <v>122</v>
      </c>
      <c r="AB152" s="797" t="s">
        <v>122</v>
      </c>
      <c r="AC152" s="797" t="s">
        <v>122</v>
      </c>
      <c r="AD152" s="797" t="s">
        <v>122</v>
      </c>
      <c r="AE152" s="797" t="s">
        <v>122</v>
      </c>
      <c r="AF152" s="797" t="s">
        <v>122</v>
      </c>
      <c r="AG152" s="797" t="s">
        <v>122</v>
      </c>
      <c r="AH152" s="623">
        <f>+AH151</f>
        <v>41188</v>
      </c>
      <c r="AI152" s="797" t="s">
        <v>122</v>
      </c>
      <c r="AJ152" s="295" t="s">
        <v>122</v>
      </c>
      <c r="AK152" s="822"/>
      <c r="AL152" s="822"/>
      <c r="AM152" s="822"/>
      <c r="AN152" s="823"/>
      <c r="AO152" s="11"/>
      <c r="AP152" s="12"/>
    </row>
    <row r="153" spans="2:42" ht="51.75" thickBot="1" x14ac:dyDescent="0.25">
      <c r="B153" s="189" t="s">
        <v>127</v>
      </c>
      <c r="C153" s="197"/>
      <c r="D153" s="197" t="s">
        <v>111</v>
      </c>
      <c r="E153" s="190" t="s">
        <v>128</v>
      </c>
      <c r="F153" s="191" t="s">
        <v>520</v>
      </c>
      <c r="G153" s="192" t="s">
        <v>190</v>
      </c>
      <c r="H153" s="190"/>
      <c r="I153" s="190"/>
      <c r="J153" s="190" t="s">
        <v>106</v>
      </c>
      <c r="K153" s="190"/>
      <c r="L153" s="193">
        <f>IFERROR(ROUND(VLOOKUP(G153,G40:M91,7,FALSE)*5%,0),0)</f>
        <v>0</v>
      </c>
      <c r="M153" s="190"/>
      <c r="N153" s="190" t="s">
        <v>99</v>
      </c>
      <c r="O153" s="194" t="s">
        <v>79</v>
      </c>
      <c r="P153" s="484" t="s">
        <v>122</v>
      </c>
      <c r="Q153" s="623" t="s">
        <v>122</v>
      </c>
      <c r="R153" s="623" t="s">
        <v>122</v>
      </c>
      <c r="S153" s="623" t="s">
        <v>122</v>
      </c>
      <c r="T153" s="623" t="s">
        <v>122</v>
      </c>
      <c r="U153" s="623" t="s">
        <v>122</v>
      </c>
      <c r="V153" s="623" t="s">
        <v>122</v>
      </c>
      <c r="W153" s="623" t="s">
        <v>122</v>
      </c>
      <c r="X153" s="623" t="s">
        <v>122</v>
      </c>
      <c r="Y153" s="623" t="s">
        <v>122</v>
      </c>
      <c r="Z153" s="623" t="s">
        <v>122</v>
      </c>
      <c r="AA153" s="623" t="s">
        <v>122</v>
      </c>
      <c r="AB153" s="623" t="s">
        <v>122</v>
      </c>
      <c r="AC153" s="623" t="s">
        <v>122</v>
      </c>
      <c r="AD153" s="623" t="s">
        <v>122</v>
      </c>
      <c r="AE153" s="623" t="s">
        <v>122</v>
      </c>
      <c r="AF153" s="623" t="s">
        <v>122</v>
      </c>
      <c r="AG153" s="623" t="s">
        <v>122</v>
      </c>
      <c r="AH153" s="623" t="str">
        <f t="shared" ref="AH153:AH154" si="23">+VLOOKUP($G153,obra,23,FALSE)</f>
        <v>N/A</v>
      </c>
      <c r="AI153" s="623" t="s">
        <v>122</v>
      </c>
      <c r="AJ153" s="218" t="s">
        <v>122</v>
      </c>
      <c r="AK153" s="772"/>
      <c r="AL153" s="772"/>
      <c r="AM153" s="772"/>
      <c r="AN153" s="795"/>
      <c r="AO153" s="11"/>
      <c r="AP153" s="12"/>
    </row>
    <row r="154" spans="2:42" ht="51.75" thickBot="1" x14ac:dyDescent="0.25">
      <c r="B154" s="189" t="s">
        <v>127</v>
      </c>
      <c r="C154" s="197"/>
      <c r="D154" s="197" t="s">
        <v>111</v>
      </c>
      <c r="E154" s="190" t="s">
        <v>128</v>
      </c>
      <c r="F154" s="191" t="s">
        <v>550</v>
      </c>
      <c r="G154" s="192" t="s">
        <v>350</v>
      </c>
      <c r="H154" s="190"/>
      <c r="I154" s="190"/>
      <c r="J154" s="190" t="s">
        <v>106</v>
      </c>
      <c r="K154" s="190"/>
      <c r="L154" s="606">
        <v>600000000</v>
      </c>
      <c r="M154" s="190"/>
      <c r="N154" s="190" t="s">
        <v>99</v>
      </c>
      <c r="O154" s="194" t="s">
        <v>79</v>
      </c>
      <c r="P154" s="484" t="s">
        <v>122</v>
      </c>
      <c r="Q154" s="623" t="s">
        <v>122</v>
      </c>
      <c r="R154" s="623" t="s">
        <v>122</v>
      </c>
      <c r="S154" s="623" t="s">
        <v>122</v>
      </c>
      <c r="T154" s="623" t="s">
        <v>122</v>
      </c>
      <c r="U154" s="623" t="s">
        <v>122</v>
      </c>
      <c r="V154" s="623" t="s">
        <v>122</v>
      </c>
      <c r="W154" s="623" t="s">
        <v>122</v>
      </c>
      <c r="X154" s="623" t="s">
        <v>122</v>
      </c>
      <c r="Y154" s="623" t="s">
        <v>122</v>
      </c>
      <c r="Z154" s="623" t="s">
        <v>122</v>
      </c>
      <c r="AA154" s="623" t="s">
        <v>122</v>
      </c>
      <c r="AB154" s="623" t="s">
        <v>122</v>
      </c>
      <c r="AC154" s="623" t="s">
        <v>122</v>
      </c>
      <c r="AD154" s="623" t="s">
        <v>122</v>
      </c>
      <c r="AE154" s="623" t="s">
        <v>122</v>
      </c>
      <c r="AF154" s="623" t="s">
        <v>122</v>
      </c>
      <c r="AG154" s="623" t="s">
        <v>122</v>
      </c>
      <c r="AH154" s="623" t="str">
        <f t="shared" si="23"/>
        <v>N/A</v>
      </c>
      <c r="AI154" s="623" t="s">
        <v>122</v>
      </c>
      <c r="AJ154" s="218" t="s">
        <v>122</v>
      </c>
      <c r="AK154" s="772"/>
      <c r="AL154" s="772"/>
      <c r="AM154" s="772"/>
      <c r="AN154" s="795"/>
      <c r="AO154" s="11"/>
      <c r="AP154" s="12"/>
    </row>
    <row r="155" spans="2:42" ht="42.75" customHeight="1" thickBot="1" x14ac:dyDescent="0.25">
      <c r="B155" s="189"/>
      <c r="C155" s="190"/>
      <c r="D155" s="190"/>
      <c r="E155" s="190"/>
      <c r="F155" s="621" t="s">
        <v>607</v>
      </c>
      <c r="G155" s="622" t="s">
        <v>350</v>
      </c>
      <c r="H155" s="197"/>
      <c r="I155" s="190"/>
      <c r="J155" s="190"/>
      <c r="K155" s="190"/>
      <c r="L155" s="606">
        <v>200000000</v>
      </c>
      <c r="M155" s="190"/>
      <c r="N155" s="190"/>
      <c r="O155" s="190"/>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623"/>
      <c r="AK155" s="190"/>
      <c r="AL155" s="190"/>
      <c r="AM155" s="190"/>
      <c r="AN155" s="198"/>
      <c r="AO155" s="11"/>
      <c r="AP155" s="12"/>
    </row>
    <row r="156" spans="2:42" x14ac:dyDescent="0.2">
      <c r="B156" s="14"/>
      <c r="C156" s="14"/>
      <c r="D156" s="14"/>
      <c r="E156" s="14"/>
      <c r="F156" s="14"/>
      <c r="G156" s="14"/>
      <c r="H156" s="14"/>
      <c r="I156" s="14"/>
      <c r="J156" s="14"/>
      <c r="K156" s="534">
        <f>SUM(K95:K155)</f>
        <v>0</v>
      </c>
      <c r="L156" s="534">
        <f>SUM(L95:L155)</f>
        <v>16465804870.000557</v>
      </c>
      <c r="M156" s="183" t="s">
        <v>313</v>
      </c>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230"/>
      <c r="AK156" s="14"/>
      <c r="AL156" s="14"/>
      <c r="AM156" s="14"/>
      <c r="AN156" s="14"/>
      <c r="AO156" s="11"/>
      <c r="AP156" s="12"/>
    </row>
    <row r="157" spans="2:42" x14ac:dyDescent="0.2">
      <c r="B157" s="14"/>
      <c r="C157" s="14"/>
      <c r="D157" s="14"/>
      <c r="E157" s="14"/>
      <c r="G157" s="14"/>
      <c r="H157" s="14"/>
      <c r="I157" s="14"/>
      <c r="J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230"/>
      <c r="AK157" s="14"/>
      <c r="AL157" s="14"/>
      <c r="AM157" s="14"/>
      <c r="AN157" s="14"/>
      <c r="AO157" s="11"/>
      <c r="AP157" s="12"/>
    </row>
    <row r="158" spans="2:42" ht="38.25" x14ac:dyDescent="0.2">
      <c r="B158" s="14"/>
      <c r="C158" s="14"/>
      <c r="D158" s="14"/>
      <c r="E158" s="14"/>
      <c r="G158" s="224"/>
      <c r="H158" s="14"/>
      <c r="I158" s="224"/>
      <c r="J158" s="14"/>
      <c r="K158" s="375" t="s">
        <v>525</v>
      </c>
      <c r="L158" s="186">
        <f>+L156+M80+M68</f>
        <v>238746105434.20032</v>
      </c>
      <c r="M158" s="459"/>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230"/>
      <c r="AK158" s="14"/>
      <c r="AL158" s="14"/>
      <c r="AM158" s="14"/>
      <c r="AN158" s="14"/>
      <c r="AO158" s="11"/>
      <c r="AP158" s="12"/>
    </row>
    <row r="159" spans="2:42" ht="25.5" x14ac:dyDescent="0.2">
      <c r="B159" s="14"/>
      <c r="C159" s="14"/>
      <c r="D159" s="14"/>
      <c r="E159" s="14"/>
      <c r="G159" s="14"/>
      <c r="H159" s="14"/>
      <c r="I159" s="224"/>
      <c r="J159" s="14"/>
      <c r="K159" s="379" t="s">
        <v>526</v>
      </c>
      <c r="L159" s="185">
        <f>+K204</f>
        <v>13600011536.298939</v>
      </c>
      <c r="M159" s="250">
        <f>(POA!DW376+POA!DW377+POA!DW378)*1000000</f>
        <v>19114543369.519466</v>
      </c>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230"/>
      <c r="AK159" s="14"/>
      <c r="AL159" s="14"/>
      <c r="AM159" s="14"/>
      <c r="AN159" s="14"/>
      <c r="AO159" s="11"/>
      <c r="AP159" s="12"/>
    </row>
    <row r="160" spans="2:42" ht="25.5" x14ac:dyDescent="0.2">
      <c r="B160" s="14"/>
      <c r="C160" s="14"/>
      <c r="D160" s="14"/>
      <c r="E160" s="14"/>
      <c r="G160" s="14"/>
      <c r="H160" s="14"/>
      <c r="I160" s="224"/>
      <c r="J160" s="14"/>
      <c r="K160" s="379" t="s">
        <v>48</v>
      </c>
      <c r="L160" s="185">
        <f>+M85+M86</f>
        <v>1384378484.629375</v>
      </c>
      <c r="M160" s="459">
        <f>+K204+M85+M79+M78+M76+M67+M86+L154+M77+L155</f>
        <v>19114543369.518314</v>
      </c>
      <c r="N160" s="14"/>
      <c r="O160" s="14"/>
      <c r="P160" s="224"/>
      <c r="Q160" s="14"/>
      <c r="R160" s="14"/>
      <c r="S160" s="14"/>
      <c r="T160" s="14"/>
      <c r="U160" s="14"/>
      <c r="V160" s="14"/>
      <c r="W160" s="14"/>
      <c r="X160" s="14"/>
      <c r="Y160" s="14"/>
      <c r="Z160" s="14"/>
      <c r="AA160" s="14"/>
      <c r="AB160" s="14"/>
      <c r="AC160" s="14"/>
      <c r="AD160" s="14"/>
      <c r="AE160" s="14"/>
      <c r="AF160" s="14"/>
      <c r="AG160" s="14"/>
      <c r="AH160" s="14"/>
      <c r="AI160" s="14"/>
      <c r="AJ160" s="282"/>
      <c r="AK160" s="14"/>
      <c r="AL160" s="14"/>
      <c r="AM160" s="14"/>
      <c r="AN160" s="14"/>
      <c r="AO160" s="11"/>
      <c r="AP160" s="12"/>
    </row>
    <row r="161" spans="2:42" x14ac:dyDescent="0.2">
      <c r="B161" s="14"/>
      <c r="C161" s="14"/>
      <c r="D161" s="14"/>
      <c r="E161" s="14"/>
      <c r="G161" s="14"/>
      <c r="H161" s="14"/>
      <c r="I161" s="14"/>
      <c r="J161" s="14"/>
      <c r="K161" s="380" t="s">
        <v>101</v>
      </c>
      <c r="L161" s="460">
        <f>+L159+L158+L160</f>
        <v>253730495455.12863</v>
      </c>
      <c r="M161" s="548">
        <f>M160-M159</f>
        <v>-1.15203857421875E-3</v>
      </c>
      <c r="N161" s="14"/>
      <c r="O161" s="14"/>
      <c r="P161" s="293"/>
      <c r="Q161" s="14"/>
      <c r="R161" s="14"/>
      <c r="S161" s="14"/>
      <c r="T161" s="14"/>
      <c r="U161" s="14"/>
      <c r="V161" s="14"/>
      <c r="W161" s="14"/>
      <c r="X161" s="14"/>
      <c r="Y161" s="14"/>
      <c r="Z161" s="14"/>
      <c r="AA161" s="14"/>
      <c r="AB161" s="14"/>
      <c r="AC161" s="14"/>
      <c r="AD161" s="14"/>
      <c r="AE161" s="14"/>
      <c r="AF161" s="14"/>
      <c r="AG161" s="14"/>
      <c r="AH161" s="14"/>
      <c r="AI161" s="14"/>
      <c r="AJ161" s="230"/>
      <c r="AK161" s="14"/>
      <c r="AL161" s="14"/>
      <c r="AM161" s="14"/>
      <c r="AN161" s="14"/>
      <c r="AO161" s="11"/>
      <c r="AP161" s="12"/>
    </row>
    <row r="162" spans="2:42" x14ac:dyDescent="0.2">
      <c r="B162" s="14"/>
      <c r="C162" s="14"/>
      <c r="D162" s="14"/>
      <c r="E162" s="14"/>
      <c r="F162" s="14"/>
      <c r="G162" s="14"/>
      <c r="H162" s="14"/>
      <c r="I162" s="14"/>
      <c r="J162" s="14"/>
      <c r="K162" s="184"/>
      <c r="L162" s="185"/>
      <c r="M162" s="22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230"/>
      <c r="AK162" s="14"/>
      <c r="AL162" s="14"/>
      <c r="AM162" s="14"/>
      <c r="AN162" s="14"/>
      <c r="AO162" s="11"/>
      <c r="AP162" s="12"/>
    </row>
    <row r="163" spans="2:42" x14ac:dyDescent="0.2">
      <c r="B163" s="14"/>
      <c r="C163" s="14"/>
      <c r="D163" s="14"/>
      <c r="E163" s="14"/>
      <c r="F163" s="14"/>
      <c r="G163" s="14"/>
      <c r="H163" s="14"/>
      <c r="I163" s="14"/>
      <c r="J163" s="14"/>
      <c r="K163" s="181"/>
      <c r="L163" s="570">
        <f>+POA!DW386</f>
        <v>253730.49542922279</v>
      </c>
      <c r="M163" s="417">
        <f>+L163*1000000-L161</f>
        <v>-25.905853271484375</v>
      </c>
      <c r="N163" s="14"/>
      <c r="O163" s="14"/>
      <c r="P163" s="293"/>
      <c r="Q163" s="14"/>
      <c r="R163" s="14"/>
      <c r="S163" s="14"/>
      <c r="T163" s="14"/>
      <c r="U163" s="14"/>
      <c r="V163" s="14"/>
      <c r="W163" s="14"/>
      <c r="X163" s="14"/>
      <c r="Y163" s="14"/>
      <c r="Z163" s="14"/>
      <c r="AA163" s="14"/>
      <c r="AB163" s="14"/>
      <c r="AC163" s="14"/>
      <c r="AD163" s="14"/>
      <c r="AE163" s="14"/>
      <c r="AF163" s="14"/>
      <c r="AG163" s="14"/>
      <c r="AH163" s="14"/>
      <c r="AI163" s="14"/>
      <c r="AJ163" s="230"/>
      <c r="AK163" s="14"/>
      <c r="AL163" s="14"/>
      <c r="AM163" s="14"/>
      <c r="AN163" s="14"/>
      <c r="AO163" s="11"/>
      <c r="AP163" s="12"/>
    </row>
    <row r="164" spans="2:42" x14ac:dyDescent="0.2">
      <c r="B164" s="14"/>
      <c r="C164" s="14"/>
      <c r="D164" s="14"/>
      <c r="E164" s="14"/>
      <c r="F164" s="14"/>
      <c r="G164" s="14"/>
      <c r="H164" s="14"/>
      <c r="I164" s="14"/>
      <c r="J164" s="14"/>
      <c r="K164" s="14"/>
      <c r="L164" s="300"/>
      <c r="M164" s="247"/>
      <c r="N164" s="247"/>
      <c r="O164" s="14"/>
      <c r="P164" s="14"/>
      <c r="Q164" s="14"/>
      <c r="R164" s="14"/>
      <c r="S164" s="14"/>
      <c r="T164" s="14"/>
      <c r="U164" s="14"/>
      <c r="V164" s="14"/>
      <c r="W164" s="14"/>
      <c r="X164" s="14"/>
      <c r="Y164" s="14"/>
      <c r="Z164" s="14"/>
      <c r="AA164" s="14"/>
      <c r="AB164" s="14"/>
      <c r="AC164" s="14"/>
      <c r="AD164" s="14"/>
      <c r="AE164" s="14"/>
      <c r="AF164" s="14"/>
      <c r="AG164" s="14"/>
      <c r="AH164" s="14"/>
      <c r="AI164" s="14"/>
      <c r="AJ164" s="230"/>
      <c r="AK164" s="14"/>
      <c r="AL164" s="14"/>
      <c r="AM164" s="14"/>
      <c r="AN164" s="14"/>
      <c r="AO164" s="11" t="s">
        <v>76</v>
      </c>
      <c r="AP164" s="12" t="s">
        <v>67</v>
      </c>
    </row>
    <row r="165" spans="2:42" ht="13.5" thickBot="1" x14ac:dyDescent="0.25">
      <c r="AO165" s="12" t="s">
        <v>77</v>
      </c>
      <c r="AP165" s="12" t="s">
        <v>67</v>
      </c>
    </row>
    <row r="166" spans="2:42" x14ac:dyDescent="0.2">
      <c r="B166" s="835" t="s">
        <v>90</v>
      </c>
      <c r="C166" s="836"/>
      <c r="D166" s="836"/>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8"/>
      <c r="AO166" s="12"/>
      <c r="AP166" s="12" t="s">
        <v>64</v>
      </c>
    </row>
    <row r="167" spans="2:42" x14ac:dyDescent="0.2">
      <c r="B167" s="843" t="s">
        <v>2</v>
      </c>
      <c r="C167" s="839" t="s">
        <v>472</v>
      </c>
      <c r="D167" s="839" t="s">
        <v>108</v>
      </c>
      <c r="E167" s="834" t="s">
        <v>87</v>
      </c>
      <c r="F167" s="834" t="s">
        <v>3</v>
      </c>
      <c r="G167" s="834" t="s">
        <v>4</v>
      </c>
      <c r="H167" s="839" t="s">
        <v>138</v>
      </c>
      <c r="I167" s="834" t="s">
        <v>93</v>
      </c>
      <c r="J167" s="834" t="s">
        <v>139</v>
      </c>
      <c r="K167" s="834" t="s">
        <v>6</v>
      </c>
      <c r="L167" s="834" t="s">
        <v>31</v>
      </c>
      <c r="M167" s="834" t="s">
        <v>102</v>
      </c>
      <c r="N167" s="839" t="s">
        <v>136</v>
      </c>
      <c r="O167" s="834" t="s">
        <v>137</v>
      </c>
      <c r="P167" s="834" t="s">
        <v>7</v>
      </c>
      <c r="Q167" s="834"/>
      <c r="R167" s="834"/>
      <c r="S167" s="834"/>
      <c r="T167" s="834"/>
      <c r="U167" s="834"/>
      <c r="V167" s="834" t="s">
        <v>32</v>
      </c>
      <c r="W167" s="834" t="s">
        <v>33</v>
      </c>
      <c r="X167" s="834" t="s">
        <v>34</v>
      </c>
      <c r="Y167" s="834" t="s">
        <v>35</v>
      </c>
      <c r="Z167" s="847" t="s">
        <v>0</v>
      </c>
      <c r="AO167" s="12"/>
      <c r="AP167" s="12" t="s">
        <v>64</v>
      </c>
    </row>
    <row r="168" spans="2:42" x14ac:dyDescent="0.2">
      <c r="B168" s="843"/>
      <c r="C168" s="845"/>
      <c r="D168" s="845"/>
      <c r="E168" s="834"/>
      <c r="F168" s="834"/>
      <c r="G168" s="834"/>
      <c r="H168" s="845"/>
      <c r="I168" s="834"/>
      <c r="J168" s="834"/>
      <c r="K168" s="834"/>
      <c r="L168" s="834"/>
      <c r="M168" s="834"/>
      <c r="N168" s="845"/>
      <c r="O168" s="834"/>
      <c r="P168" s="834" t="s">
        <v>36</v>
      </c>
      <c r="Q168" s="834"/>
      <c r="R168" s="834" t="s">
        <v>37</v>
      </c>
      <c r="S168" s="834"/>
      <c r="T168" s="834" t="s">
        <v>38</v>
      </c>
      <c r="U168" s="834"/>
      <c r="V168" s="834"/>
      <c r="W168" s="834"/>
      <c r="X168" s="834"/>
      <c r="Y168" s="834"/>
      <c r="Z168" s="847"/>
      <c r="AO168" s="12" t="s">
        <v>78</v>
      </c>
      <c r="AP168" s="12" t="s">
        <v>64</v>
      </c>
    </row>
    <row r="169" spans="2:42" ht="26.25" thickBot="1" x14ac:dyDescent="0.25">
      <c r="B169" s="844"/>
      <c r="C169" s="845"/>
      <c r="D169" s="845"/>
      <c r="E169" s="839"/>
      <c r="F169" s="839"/>
      <c r="G169" s="839"/>
      <c r="H169" s="845"/>
      <c r="I169" s="839"/>
      <c r="J169" s="839"/>
      <c r="K169" s="839"/>
      <c r="L169" s="839"/>
      <c r="M169" s="839"/>
      <c r="N169" s="845"/>
      <c r="O169" s="839"/>
      <c r="P169" s="139" t="s">
        <v>18</v>
      </c>
      <c r="Q169" s="139" t="s">
        <v>19</v>
      </c>
      <c r="R169" s="139" t="s">
        <v>18</v>
      </c>
      <c r="S169" s="139" t="s">
        <v>19</v>
      </c>
      <c r="T169" s="139" t="s">
        <v>18</v>
      </c>
      <c r="U169" s="139" t="s">
        <v>19</v>
      </c>
      <c r="V169" s="839"/>
      <c r="W169" s="839"/>
      <c r="X169" s="839"/>
      <c r="Y169" s="839"/>
      <c r="Z169" s="848"/>
      <c r="AO169" s="12" t="s">
        <v>78</v>
      </c>
      <c r="AP169" s="12" t="s">
        <v>71</v>
      </c>
    </row>
    <row r="170" spans="2:42" ht="102.75" thickBot="1" x14ac:dyDescent="0.3">
      <c r="B170" s="22" t="s">
        <v>127</v>
      </c>
      <c r="C170" s="172"/>
      <c r="D170" s="30" t="s">
        <v>111</v>
      </c>
      <c r="E170" s="23" t="s">
        <v>128</v>
      </c>
      <c r="F170" s="174" t="s">
        <v>278</v>
      </c>
      <c r="G170" s="233" t="s">
        <v>308</v>
      </c>
      <c r="H170" s="172"/>
      <c r="I170" s="172"/>
      <c r="J170" s="172"/>
      <c r="K170" s="604">
        <f>+'[10]PROYEC GASTOS GERENCIA'!$AG$6</f>
        <v>579654474</v>
      </c>
      <c r="L170" s="177">
        <v>1</v>
      </c>
      <c r="M170" s="172"/>
      <c r="N170" s="172"/>
      <c r="O170" s="172"/>
      <c r="P170" s="173" t="s">
        <v>122</v>
      </c>
      <c r="Q170" s="172"/>
      <c r="R170" s="173">
        <v>42551</v>
      </c>
      <c r="S170" s="173"/>
      <c r="T170" s="173"/>
      <c r="U170" s="172"/>
      <c r="V170" s="174" t="s">
        <v>314</v>
      </c>
      <c r="W170" s="173">
        <v>40466</v>
      </c>
      <c r="X170" s="173"/>
      <c r="Y170" s="174" t="s">
        <v>279</v>
      </c>
      <c r="Z170" s="175"/>
      <c r="AO170" s="12"/>
      <c r="AP170" s="12"/>
    </row>
    <row r="171" spans="2:42" ht="141" thickBot="1" x14ac:dyDescent="0.3">
      <c r="B171" s="3" t="s">
        <v>127</v>
      </c>
      <c r="C171" s="167"/>
      <c r="D171" s="4" t="s">
        <v>111</v>
      </c>
      <c r="E171" s="5" t="s">
        <v>128</v>
      </c>
      <c r="F171" s="174" t="s">
        <v>280</v>
      </c>
      <c r="G171" s="234" t="s">
        <v>309</v>
      </c>
      <c r="H171" s="167"/>
      <c r="I171" s="167"/>
      <c r="J171" s="167"/>
      <c r="K171" s="605">
        <f>+'[10]PROYEC GASTOS GERENCIA'!$AG$5</f>
        <v>485690616.69975996</v>
      </c>
      <c r="L171" s="170">
        <v>1</v>
      </c>
      <c r="M171" s="167"/>
      <c r="N171" s="167"/>
      <c r="O171" s="167"/>
      <c r="P171" s="29" t="s">
        <v>122</v>
      </c>
      <c r="Q171" s="167"/>
      <c r="R171" s="29">
        <v>42551</v>
      </c>
      <c r="S171" s="29"/>
      <c r="T171" s="29"/>
      <c r="U171" s="167"/>
      <c r="V171" s="169" t="s">
        <v>315</v>
      </c>
      <c r="W171" s="167"/>
      <c r="X171" s="167"/>
      <c r="Y171" s="169" t="s">
        <v>283</v>
      </c>
      <c r="Z171" s="168"/>
      <c r="AO171" s="12"/>
      <c r="AP171" s="12"/>
    </row>
    <row r="172" spans="2:42" ht="64.5" thickBot="1" x14ac:dyDescent="0.3">
      <c r="B172" s="3" t="s">
        <v>127</v>
      </c>
      <c r="C172" s="167"/>
      <c r="D172" s="4" t="s">
        <v>111</v>
      </c>
      <c r="E172" s="5" t="s">
        <v>128</v>
      </c>
      <c r="F172" s="174" t="s">
        <v>281</v>
      </c>
      <c r="G172" s="235" t="s">
        <v>543</v>
      </c>
      <c r="H172" s="167"/>
      <c r="I172" s="167"/>
      <c r="J172" s="167"/>
      <c r="K172" s="605">
        <f>+'[10]PROYEC GASTOS GERENCIA'!$AG$4</f>
        <v>561812313</v>
      </c>
      <c r="L172" s="170">
        <v>1</v>
      </c>
      <c r="M172" s="167"/>
      <c r="N172" s="167"/>
      <c r="O172" s="167"/>
      <c r="P172" s="29" t="s">
        <v>122</v>
      </c>
      <c r="Q172" s="167"/>
      <c r="R172" s="29">
        <v>42551</v>
      </c>
      <c r="S172" s="29"/>
      <c r="T172" s="29"/>
      <c r="U172" s="167"/>
      <c r="V172" s="169" t="s">
        <v>316</v>
      </c>
      <c r="W172" s="29">
        <v>40466</v>
      </c>
      <c r="X172" s="29"/>
      <c r="Y172" s="169" t="s">
        <v>284</v>
      </c>
      <c r="Z172" s="168"/>
      <c r="AO172" s="12"/>
      <c r="AP172" s="12"/>
    </row>
    <row r="173" spans="2:42" ht="115.5" thickBot="1" x14ac:dyDescent="0.3">
      <c r="B173" s="3" t="s">
        <v>127</v>
      </c>
      <c r="C173" s="167"/>
      <c r="D173" s="4" t="s">
        <v>111</v>
      </c>
      <c r="E173" s="5" t="s">
        <v>128</v>
      </c>
      <c r="F173" s="174" t="s">
        <v>302</v>
      </c>
      <c r="G173" s="234" t="s">
        <v>310</v>
      </c>
      <c r="H173" s="167"/>
      <c r="I173" s="167"/>
      <c r="J173" s="167"/>
      <c r="K173" s="605">
        <f>+'[10]PROYEC GASTOS GERENCIA'!$AG$18</f>
        <v>368030930.31199998</v>
      </c>
      <c r="L173" s="170">
        <v>1</v>
      </c>
      <c r="M173" s="167"/>
      <c r="N173" s="167"/>
      <c r="O173" s="167"/>
      <c r="P173" s="29" t="s">
        <v>122</v>
      </c>
      <c r="Q173" s="167"/>
      <c r="R173" s="29">
        <v>42551</v>
      </c>
      <c r="S173" s="29"/>
      <c r="T173" s="29"/>
      <c r="U173" s="167"/>
      <c r="V173" s="169" t="s">
        <v>317</v>
      </c>
      <c r="W173" s="29">
        <v>40466</v>
      </c>
      <c r="X173" s="29"/>
      <c r="Y173" s="170" t="s">
        <v>303</v>
      </c>
      <c r="Z173" s="168"/>
      <c r="AO173" s="12"/>
      <c r="AP173" s="12"/>
    </row>
    <row r="174" spans="2:42" ht="90" thickBot="1" x14ac:dyDescent="0.3">
      <c r="B174" s="3" t="s">
        <v>127</v>
      </c>
      <c r="C174" s="167"/>
      <c r="D174" s="4" t="s">
        <v>111</v>
      </c>
      <c r="E174" s="5" t="s">
        <v>128</v>
      </c>
      <c r="F174" s="174" t="s">
        <v>282</v>
      </c>
      <c r="G174" s="234" t="s">
        <v>289</v>
      </c>
      <c r="H174" s="167"/>
      <c r="I174" s="167"/>
      <c r="J174" s="167"/>
      <c r="K174" s="605">
        <f>+'[10]PROYEC GASTOS GERENCIA'!$AG$7+'[10]PROYEC GASTOS GERENCIA'!$AG$8</f>
        <v>766555926.62399995</v>
      </c>
      <c r="L174" s="170">
        <v>2</v>
      </c>
      <c r="M174" s="167"/>
      <c r="N174" s="167"/>
      <c r="O174" s="167"/>
      <c r="P174" s="29" t="s">
        <v>122</v>
      </c>
      <c r="Q174" s="167"/>
      <c r="R174" s="29">
        <v>42551</v>
      </c>
      <c r="S174" s="29"/>
      <c r="T174" s="29"/>
      <c r="U174" s="167"/>
      <c r="V174" s="169" t="s">
        <v>318</v>
      </c>
      <c r="W174" s="29">
        <v>40466</v>
      </c>
      <c r="X174" s="29"/>
      <c r="Y174" s="169" t="s">
        <v>290</v>
      </c>
      <c r="Z174" s="176"/>
      <c r="AO174" s="12"/>
      <c r="AP174" s="12"/>
    </row>
    <row r="175" spans="2:42" ht="64.5" thickBot="1" x14ac:dyDescent="0.3">
      <c r="B175" s="3" t="s">
        <v>127</v>
      </c>
      <c r="C175" s="167"/>
      <c r="D175" s="4" t="s">
        <v>111</v>
      </c>
      <c r="E175" s="5" t="s">
        <v>128</v>
      </c>
      <c r="F175" s="174" t="s">
        <v>285</v>
      </c>
      <c r="G175" s="234" t="s">
        <v>288</v>
      </c>
      <c r="H175" s="167"/>
      <c r="I175" s="167"/>
      <c r="J175" s="167"/>
      <c r="K175" s="605">
        <f>+'[10]PROYEC GASTOS GERENCIA'!$AG$9</f>
        <v>372094074.31199998</v>
      </c>
      <c r="L175" s="170">
        <v>1</v>
      </c>
      <c r="M175" s="167"/>
      <c r="N175" s="167"/>
      <c r="O175" s="167"/>
      <c r="P175" s="29" t="s">
        <v>122</v>
      </c>
      <c r="Q175" s="167"/>
      <c r="R175" s="29">
        <v>42368</v>
      </c>
      <c r="S175" s="29"/>
      <c r="T175" s="29"/>
      <c r="U175" s="167"/>
      <c r="V175" s="169" t="s">
        <v>356</v>
      </c>
      <c r="W175" s="29">
        <v>40592</v>
      </c>
      <c r="X175" s="29"/>
      <c r="Y175" s="169" t="s">
        <v>286</v>
      </c>
      <c r="Z175" s="176"/>
      <c r="AO175" s="12"/>
      <c r="AP175" s="12"/>
    </row>
    <row r="176" spans="2:42" ht="128.25" thickBot="1" x14ac:dyDescent="0.3">
      <c r="B176" s="3" t="s">
        <v>127</v>
      </c>
      <c r="C176" s="167"/>
      <c r="D176" s="4" t="s">
        <v>111</v>
      </c>
      <c r="E176" s="5" t="s">
        <v>128</v>
      </c>
      <c r="F176" s="174" t="s">
        <v>287</v>
      </c>
      <c r="G176" s="234" t="s">
        <v>295</v>
      </c>
      <c r="H176" s="167"/>
      <c r="I176" s="167"/>
      <c r="J176" s="167"/>
      <c r="K176" s="605">
        <f>+'[10]PROYEC GASTOS GERENCIA'!$AG$10+'[10]PROYEC GASTOS GERENCIA'!$AG$11</f>
        <v>559465296</v>
      </c>
      <c r="L176" s="170">
        <v>2</v>
      </c>
      <c r="M176" s="167"/>
      <c r="N176" s="167"/>
      <c r="O176" s="167"/>
      <c r="P176" s="29" t="s">
        <v>122</v>
      </c>
      <c r="Q176" s="167"/>
      <c r="R176" s="29">
        <v>42551</v>
      </c>
      <c r="S176" s="29"/>
      <c r="T176" s="29"/>
      <c r="U176" s="167"/>
      <c r="V176" s="169" t="s">
        <v>319</v>
      </c>
      <c r="W176" s="171">
        <v>40466</v>
      </c>
      <c r="X176" s="171"/>
      <c r="Y176" s="170" t="s">
        <v>292</v>
      </c>
      <c r="Z176" s="176"/>
      <c r="AO176" s="12"/>
      <c r="AP176" s="12"/>
    </row>
    <row r="177" spans="2:42" ht="77.25" thickBot="1" x14ac:dyDescent="0.3">
      <c r="B177" s="3" t="s">
        <v>127</v>
      </c>
      <c r="C177" s="167"/>
      <c r="D177" s="4" t="s">
        <v>111</v>
      </c>
      <c r="E177" s="5" t="s">
        <v>128</v>
      </c>
      <c r="F177" s="174" t="s">
        <v>291</v>
      </c>
      <c r="G177" s="234" t="s">
        <v>296</v>
      </c>
      <c r="H177" s="167"/>
      <c r="I177" s="167"/>
      <c r="J177" s="167"/>
      <c r="K177" s="605">
        <f>+'[10]PROYEC GASTOS GERENCIA'!$AG$19</f>
        <v>446232235.93388003</v>
      </c>
      <c r="L177" s="170">
        <v>1</v>
      </c>
      <c r="M177" s="167"/>
      <c r="N177" s="167"/>
      <c r="O177" s="167"/>
      <c r="P177" s="29" t="s">
        <v>122</v>
      </c>
      <c r="Q177" s="167"/>
      <c r="R177" s="29">
        <v>42003</v>
      </c>
      <c r="S177" s="29"/>
      <c r="T177" s="29"/>
      <c r="U177" s="167"/>
      <c r="V177" s="169" t="s">
        <v>320</v>
      </c>
      <c r="W177" s="171">
        <v>40527</v>
      </c>
      <c r="X177" s="171"/>
      <c r="Y177" s="170" t="s">
        <v>293</v>
      </c>
      <c r="Z177" s="176"/>
      <c r="AO177" s="12"/>
      <c r="AP177" s="12"/>
    </row>
    <row r="178" spans="2:42" ht="179.25" thickBot="1" x14ac:dyDescent="0.3">
      <c r="B178" s="3" t="s">
        <v>127</v>
      </c>
      <c r="C178" s="167"/>
      <c r="D178" s="4" t="s">
        <v>111</v>
      </c>
      <c r="E178" s="5" t="s">
        <v>128</v>
      </c>
      <c r="F178" s="174" t="s">
        <v>297</v>
      </c>
      <c r="G178" s="234" t="s">
        <v>298</v>
      </c>
      <c r="H178" s="167"/>
      <c r="I178" s="167"/>
      <c r="J178" s="167"/>
      <c r="K178" s="605">
        <f>+'[10]PROYEC GASTOS GERENCIA'!$AG$20+'[10]PROYEC GASTOS GERENCIA'!$AG$22</f>
        <v>714561348.62399995</v>
      </c>
      <c r="L178" s="170">
        <v>2</v>
      </c>
      <c r="M178" s="167"/>
      <c r="N178" s="167"/>
      <c r="O178" s="167"/>
      <c r="P178" s="29" t="s">
        <v>122</v>
      </c>
      <c r="Q178" s="167"/>
      <c r="R178" s="29">
        <v>42003</v>
      </c>
      <c r="S178" s="29"/>
      <c r="T178" s="29"/>
      <c r="U178" s="167"/>
      <c r="V178" s="169" t="s">
        <v>321</v>
      </c>
      <c r="W178" s="171">
        <v>40557</v>
      </c>
      <c r="X178" s="171"/>
      <c r="Y178" s="169" t="s">
        <v>294</v>
      </c>
      <c r="Z178" s="176"/>
      <c r="AO178" s="12"/>
      <c r="AP178" s="12"/>
    </row>
    <row r="179" spans="2:42" ht="90" thickBot="1" x14ac:dyDescent="0.3">
      <c r="B179" s="3" t="s">
        <v>127</v>
      </c>
      <c r="C179" s="167"/>
      <c r="D179" s="4" t="s">
        <v>111</v>
      </c>
      <c r="E179" s="5" t="s">
        <v>128</v>
      </c>
      <c r="F179" s="174" t="s">
        <v>299</v>
      </c>
      <c r="G179" s="234" t="s">
        <v>301</v>
      </c>
      <c r="H179" s="167"/>
      <c r="I179" s="167"/>
      <c r="J179" s="167"/>
      <c r="K179" s="605">
        <f>+'[10]PROYEC GASTOS GERENCIA'!$AG$21</f>
        <v>349488674.31199998</v>
      </c>
      <c r="L179" s="170">
        <v>1</v>
      </c>
      <c r="M179" s="167"/>
      <c r="N179" s="167"/>
      <c r="O179" s="167"/>
      <c r="P179" s="29" t="s">
        <v>122</v>
      </c>
      <c r="Q179" s="167"/>
      <c r="R179" s="29">
        <v>42185</v>
      </c>
      <c r="S179" s="29"/>
      <c r="T179" s="29"/>
      <c r="U179" s="167"/>
      <c r="V179" s="169" t="s">
        <v>322</v>
      </c>
      <c r="W179" s="171">
        <v>40620</v>
      </c>
      <c r="X179" s="171"/>
      <c r="Y179" s="169" t="s">
        <v>300</v>
      </c>
      <c r="Z179" s="176"/>
      <c r="AO179" s="12"/>
      <c r="AP179" s="12"/>
    </row>
    <row r="180" spans="2:42" ht="102.75" thickBot="1" x14ac:dyDescent="0.3">
      <c r="B180" s="3" t="s">
        <v>127</v>
      </c>
      <c r="C180" s="167"/>
      <c r="D180" s="4" t="s">
        <v>111</v>
      </c>
      <c r="E180" s="5" t="s">
        <v>128</v>
      </c>
      <c r="F180" s="174" t="s">
        <v>304</v>
      </c>
      <c r="G180" s="234" t="s">
        <v>306</v>
      </c>
      <c r="H180" s="167"/>
      <c r="I180" s="167"/>
      <c r="J180" s="167"/>
      <c r="K180" s="605">
        <f>+'[10]PROYEC GASTOS GERENCIA'!$AG$12+'[10]PROYEC GASTOS GERENCIA'!$AG$14+'[10]PROYEC GASTOS GERENCIA'!$AG$13</f>
        <v>789286998.59200001</v>
      </c>
      <c r="L180" s="170">
        <v>2</v>
      </c>
      <c r="M180" s="167"/>
      <c r="N180" s="167"/>
      <c r="O180" s="167"/>
      <c r="P180" s="29" t="s">
        <v>122</v>
      </c>
      <c r="Q180" s="167"/>
      <c r="R180" s="29">
        <v>42368</v>
      </c>
      <c r="S180" s="29"/>
      <c r="T180" s="29"/>
      <c r="U180" s="167"/>
      <c r="V180" s="169" t="s">
        <v>323</v>
      </c>
      <c r="W180" s="171">
        <v>40572</v>
      </c>
      <c r="X180" s="171"/>
      <c r="Y180" s="169" t="s">
        <v>305</v>
      </c>
      <c r="Z180" s="176"/>
      <c r="AO180" s="12"/>
      <c r="AP180" s="12"/>
    </row>
    <row r="181" spans="2:42" ht="76.5" x14ac:dyDescent="0.25">
      <c r="B181" s="3" t="s">
        <v>127</v>
      </c>
      <c r="C181" s="167"/>
      <c r="D181" s="4" t="s">
        <v>111</v>
      </c>
      <c r="E181" s="5" t="s">
        <v>128</v>
      </c>
      <c r="F181" s="174" t="s">
        <v>355</v>
      </c>
      <c r="G181" s="236" t="s">
        <v>537</v>
      </c>
      <c r="H181" s="178"/>
      <c r="I181" s="167"/>
      <c r="J181" s="167"/>
      <c r="K181" s="605">
        <f>+'[10]PROYEC GASTOS GERENCIA'!$AG$17+'[10]PROYEC GASTOS GERENCIA'!$AG$16</f>
        <v>668001469.59200001</v>
      </c>
      <c r="L181" s="170">
        <v>2</v>
      </c>
      <c r="M181" s="167"/>
      <c r="N181" s="167"/>
      <c r="O181" s="167"/>
      <c r="P181" s="29" t="s">
        <v>122</v>
      </c>
      <c r="Q181" s="167"/>
      <c r="R181" s="29">
        <v>42003</v>
      </c>
      <c r="S181" s="29"/>
      <c r="T181" s="29"/>
      <c r="U181" s="167"/>
      <c r="V181" s="169" t="s">
        <v>592</v>
      </c>
      <c r="W181" s="171">
        <v>40626</v>
      </c>
      <c r="X181" s="171"/>
      <c r="Y181" s="169" t="s">
        <v>305</v>
      </c>
      <c r="Z181" s="176"/>
      <c r="AO181" s="12"/>
      <c r="AP181" s="12"/>
    </row>
    <row r="182" spans="2:42" ht="60" x14ac:dyDescent="0.25">
      <c r="B182" s="3" t="s">
        <v>127</v>
      </c>
      <c r="C182" s="167"/>
      <c r="D182" s="4" t="s">
        <v>111</v>
      </c>
      <c r="E182" s="5" t="s">
        <v>128</v>
      </c>
      <c r="F182" s="169" t="s">
        <v>536</v>
      </c>
      <c r="G182" s="237" t="s">
        <v>538</v>
      </c>
      <c r="H182" s="237"/>
      <c r="I182" s="167"/>
      <c r="J182" s="167"/>
      <c r="K182" s="605">
        <f>+'[10]PROYEC GASTOS GERENCIA'!$AG$23+'[10]PROYEC GASTOS GERENCIA'!$AG$24</f>
        <v>383698949</v>
      </c>
      <c r="L182" s="170">
        <v>2</v>
      </c>
      <c r="M182" s="167"/>
      <c r="N182" s="167"/>
      <c r="O182" s="167"/>
      <c r="P182" s="29" t="s">
        <v>122</v>
      </c>
      <c r="Q182" s="167"/>
      <c r="R182" s="29">
        <v>42551</v>
      </c>
      <c r="S182" s="29"/>
      <c r="T182" s="29"/>
      <c r="U182" s="167"/>
      <c r="V182" s="169" t="s">
        <v>324</v>
      </c>
      <c r="W182" s="167"/>
      <c r="X182" s="171"/>
      <c r="Y182" s="169" t="s">
        <v>307</v>
      </c>
      <c r="Z182" s="168"/>
      <c r="AO182" s="12"/>
      <c r="AP182" s="12"/>
    </row>
    <row r="183" spans="2:42" ht="229.5" x14ac:dyDescent="0.2">
      <c r="B183" s="3"/>
      <c r="C183" s="5"/>
      <c r="D183" s="4"/>
      <c r="E183" s="5"/>
      <c r="F183" s="169" t="s">
        <v>533</v>
      </c>
      <c r="G183" s="237" t="s">
        <v>541</v>
      </c>
      <c r="H183" s="5"/>
      <c r="I183" s="5"/>
      <c r="J183" s="5"/>
      <c r="K183" s="605">
        <f>+'[10]PROYEC GASTOS GERENCIA'!$AG$37</f>
        <v>323272330</v>
      </c>
      <c r="L183" s="5">
        <v>1</v>
      </c>
      <c r="M183" s="5"/>
      <c r="N183" s="5"/>
      <c r="O183" s="5"/>
      <c r="P183" s="5"/>
      <c r="Q183" s="5"/>
      <c r="R183" s="29"/>
      <c r="S183" s="29"/>
      <c r="T183" s="29"/>
      <c r="U183" s="5"/>
      <c r="V183" s="5"/>
      <c r="W183" s="20"/>
      <c r="X183" s="5"/>
      <c r="Y183" s="5"/>
      <c r="Z183" s="187"/>
    </row>
    <row r="184" spans="2:42" ht="280.5" x14ac:dyDescent="0.2">
      <c r="B184" s="3" t="s">
        <v>127</v>
      </c>
      <c r="C184" s="5"/>
      <c r="D184" s="4" t="s">
        <v>111</v>
      </c>
      <c r="E184" s="5" t="s">
        <v>128</v>
      </c>
      <c r="F184" s="169" t="s">
        <v>531</v>
      </c>
      <c r="G184" s="237" t="s">
        <v>532</v>
      </c>
      <c r="H184" s="5"/>
      <c r="I184" s="5"/>
      <c r="J184" s="5"/>
      <c r="K184" s="605">
        <f>+'[10]PROYEC GASTOS GERENCIA'!$AG$36+'[10]PROYEC GASTOS GERENCIA'!$AG$50</f>
        <v>33000000</v>
      </c>
      <c r="L184" s="5">
        <v>1</v>
      </c>
      <c r="M184" s="5"/>
      <c r="N184" s="5"/>
      <c r="O184" s="5"/>
      <c r="P184" s="5" t="s">
        <v>122</v>
      </c>
      <c r="Q184" s="5"/>
      <c r="R184" s="29">
        <v>42551</v>
      </c>
      <c r="S184" s="29"/>
      <c r="T184" s="29"/>
      <c r="U184" s="5"/>
      <c r="V184" s="5"/>
      <c r="W184" s="20"/>
      <c r="X184" s="5"/>
      <c r="Y184" s="5"/>
      <c r="Z184" s="187"/>
    </row>
    <row r="185" spans="2:42" ht="135" x14ac:dyDescent="0.2">
      <c r="B185" s="3" t="s">
        <v>127</v>
      </c>
      <c r="C185" s="5"/>
      <c r="D185" s="4" t="s">
        <v>111</v>
      </c>
      <c r="E185" s="5" t="s">
        <v>128</v>
      </c>
      <c r="F185" s="413" t="s">
        <v>542</v>
      </c>
      <c r="G185" s="413" t="s">
        <v>544</v>
      </c>
      <c r="H185" s="13"/>
      <c r="I185" s="13"/>
      <c r="J185" s="13"/>
      <c r="K185" s="605">
        <f>+'[10]PROYEC GASTOS GERENCIA'!$AG$35</f>
        <v>445373606</v>
      </c>
      <c r="L185" s="13"/>
      <c r="M185" s="13"/>
      <c r="N185" s="13"/>
      <c r="O185" s="13"/>
      <c r="P185" s="13"/>
      <c r="Q185" s="13"/>
      <c r="R185" s="414"/>
      <c r="S185" s="414"/>
      <c r="T185" s="414"/>
      <c r="U185" s="13"/>
      <c r="V185" s="13"/>
      <c r="W185" s="415"/>
      <c r="X185" s="181"/>
      <c r="Y185" s="14"/>
      <c r="Z185" s="416"/>
    </row>
    <row r="186" spans="2:42" ht="45" x14ac:dyDescent="0.2">
      <c r="B186" s="5"/>
      <c r="C186" s="5"/>
      <c r="D186" s="5"/>
      <c r="E186" s="5"/>
      <c r="F186" s="169"/>
      <c r="G186" s="413" t="s">
        <v>545</v>
      </c>
      <c r="H186" s="13"/>
      <c r="I186" s="13"/>
      <c r="J186" s="13"/>
      <c r="K186" s="605">
        <f>+'[10]PROYEC GASTOS GERENCIA'!$AG$49</f>
        <v>233450528</v>
      </c>
      <c r="L186" s="13"/>
      <c r="M186" s="13"/>
      <c r="N186" s="13"/>
      <c r="O186" s="13"/>
      <c r="P186" s="13"/>
      <c r="Q186" s="13"/>
      <c r="R186" s="414"/>
      <c r="S186" s="414"/>
      <c r="T186" s="414"/>
      <c r="U186" s="13"/>
      <c r="V186" s="13"/>
      <c r="W186" s="415"/>
      <c r="X186" s="181"/>
      <c r="Y186" s="14"/>
      <c r="Z186" s="416"/>
    </row>
    <row r="187" spans="2:42" ht="30.75" customHeight="1" x14ac:dyDescent="0.2">
      <c r="B187" s="14"/>
      <c r="C187" s="14"/>
      <c r="D187" s="179"/>
      <c r="E187" s="13"/>
      <c r="F187" s="413" t="s">
        <v>552</v>
      </c>
      <c r="G187" s="413" t="s">
        <v>551</v>
      </c>
      <c r="H187" s="13"/>
      <c r="I187" s="13"/>
      <c r="J187" s="13"/>
      <c r="K187" s="605">
        <f>+'[10]PROYEC GASTOS GERENCIA'!$AG$32</f>
        <v>62317317</v>
      </c>
      <c r="L187" s="13"/>
      <c r="M187" s="13"/>
      <c r="N187" s="13"/>
      <c r="O187" s="13"/>
      <c r="P187" s="13"/>
      <c r="Q187" s="13"/>
      <c r="R187" s="414"/>
      <c r="S187" s="414"/>
      <c r="T187" s="414"/>
      <c r="U187" s="13"/>
      <c r="V187" s="13"/>
      <c r="W187" s="415"/>
      <c r="X187" s="181"/>
      <c r="Y187" s="14"/>
      <c r="Z187" s="416"/>
    </row>
    <row r="188" spans="2:42" ht="30.75" customHeight="1" x14ac:dyDescent="0.25">
      <c r="B188" s="14"/>
      <c r="C188" s="14"/>
      <c r="D188" s="179"/>
      <c r="E188" s="13"/>
      <c r="F188" s="607" t="s">
        <v>593</v>
      </c>
      <c r="G188" s="413"/>
      <c r="H188" s="13"/>
      <c r="I188" s="13"/>
      <c r="J188" s="13"/>
      <c r="K188" s="605">
        <f>+'[10]PROYEC GASTOS GERENCIA'!$AG$15</f>
        <v>155884463.28</v>
      </c>
      <c r="L188" s="13"/>
      <c r="M188" s="13"/>
      <c r="N188" s="13"/>
      <c r="O188" s="13"/>
      <c r="P188" s="13"/>
      <c r="Q188" s="13"/>
      <c r="R188" s="414"/>
      <c r="S188" s="414"/>
      <c r="T188" s="414"/>
      <c r="U188" s="13"/>
      <c r="V188" s="13"/>
      <c r="W188" s="415"/>
      <c r="X188" s="181"/>
      <c r="Y188" s="14"/>
      <c r="Z188" s="416"/>
    </row>
    <row r="189" spans="2:42" ht="30.75" customHeight="1" x14ac:dyDescent="0.25">
      <c r="B189" s="14"/>
      <c r="C189" s="14"/>
      <c r="D189" s="179"/>
      <c r="E189" s="13"/>
      <c r="F189" s="607" t="s">
        <v>594</v>
      </c>
      <c r="G189" s="413"/>
      <c r="H189" s="13"/>
      <c r="I189" s="13"/>
      <c r="J189" s="13"/>
      <c r="K189" s="605">
        <f>+'[10]PROYEC GASTOS GERENCIA'!$AG$25</f>
        <v>248116983.3195</v>
      </c>
      <c r="L189" s="13"/>
      <c r="M189" s="13"/>
      <c r="N189" s="13"/>
      <c r="O189" s="13"/>
      <c r="P189" s="13"/>
      <c r="Q189" s="13"/>
      <c r="R189" s="414"/>
      <c r="S189" s="414"/>
      <c r="T189" s="414"/>
      <c r="U189" s="13"/>
      <c r="V189" s="13"/>
      <c r="W189" s="415"/>
      <c r="X189" s="181"/>
      <c r="Y189" s="14"/>
      <c r="Z189" s="416"/>
    </row>
    <row r="190" spans="2:42" ht="30.75" customHeight="1" x14ac:dyDescent="0.25">
      <c r="B190" s="14"/>
      <c r="C190" s="14"/>
      <c r="D190" s="179"/>
      <c r="E190" s="13"/>
      <c r="F190" s="607" t="s">
        <v>595</v>
      </c>
      <c r="G190" s="413"/>
      <c r="H190" s="13"/>
      <c r="I190" s="13"/>
      <c r="J190" s="13"/>
      <c r="K190" s="605">
        <f>+'[10]PROYEC GASTOS GERENCIA'!$AG$26</f>
        <v>248116983.3195</v>
      </c>
      <c r="L190" s="13"/>
      <c r="M190" s="13"/>
      <c r="N190" s="13"/>
      <c r="O190" s="13"/>
      <c r="P190" s="13"/>
      <c r="Q190" s="13"/>
      <c r="R190" s="414"/>
      <c r="S190" s="414"/>
      <c r="T190" s="414"/>
      <c r="U190" s="13"/>
      <c r="V190" s="13"/>
      <c r="W190" s="415"/>
      <c r="X190" s="181"/>
      <c r="Y190" s="14"/>
      <c r="Z190" s="416"/>
    </row>
    <row r="191" spans="2:42" ht="30.75" customHeight="1" x14ac:dyDescent="0.25">
      <c r="B191" s="14"/>
      <c r="C191" s="14"/>
      <c r="D191" s="179"/>
      <c r="E191" s="13"/>
      <c r="F191" s="607" t="s">
        <v>596</v>
      </c>
      <c r="G191" s="413"/>
      <c r="H191" s="13"/>
      <c r="I191" s="13"/>
      <c r="J191" s="13"/>
      <c r="K191" s="605">
        <f>+'[10]PROYEC GASTOS GERENCIA'!$AG$27</f>
        <v>155884463.28</v>
      </c>
      <c r="L191" s="13"/>
      <c r="M191" s="13"/>
      <c r="N191" s="13"/>
      <c r="O191" s="13"/>
      <c r="P191" s="13"/>
      <c r="Q191" s="13"/>
      <c r="R191" s="414"/>
      <c r="S191" s="414"/>
      <c r="T191" s="414"/>
      <c r="U191" s="13"/>
      <c r="V191" s="13"/>
      <c r="W191" s="415"/>
      <c r="X191" s="181"/>
      <c r="Y191" s="14"/>
      <c r="Z191" s="416"/>
    </row>
    <row r="192" spans="2:42" ht="30.75" customHeight="1" x14ac:dyDescent="0.25">
      <c r="B192" s="14"/>
      <c r="C192" s="14"/>
      <c r="D192" s="179"/>
      <c r="E192" s="13"/>
      <c r="F192" s="607" t="s">
        <v>597</v>
      </c>
      <c r="G192" s="413"/>
      <c r="H192" s="13"/>
      <c r="I192" s="13"/>
      <c r="J192" s="13"/>
      <c r="K192" s="605">
        <f>+'[10]PROYEC GASTOS GERENCIA'!$AG$28</f>
        <v>300158125</v>
      </c>
      <c r="L192" s="13"/>
      <c r="M192" s="13"/>
      <c r="N192" s="13"/>
      <c r="O192" s="13"/>
      <c r="P192" s="13"/>
      <c r="Q192" s="13"/>
      <c r="R192" s="414"/>
      <c r="S192" s="414"/>
      <c r="T192" s="414"/>
      <c r="U192" s="13"/>
      <c r="V192" s="13"/>
      <c r="W192" s="415"/>
      <c r="X192" s="181"/>
      <c r="Y192" s="14"/>
      <c r="Z192" s="416"/>
    </row>
    <row r="193" spans="2:42" ht="30.75" customHeight="1" x14ac:dyDescent="0.25">
      <c r="B193" s="14"/>
      <c r="C193" s="14"/>
      <c r="D193" s="179"/>
      <c r="E193" s="13"/>
      <c r="F193" s="607" t="s">
        <v>598</v>
      </c>
      <c r="G193" s="413"/>
      <c r="H193" s="13"/>
      <c r="I193" s="13"/>
      <c r="J193" s="13"/>
      <c r="K193" s="605">
        <f>+'[10]PROYEC GASTOS GERENCIA'!$AG$29</f>
        <v>122500000</v>
      </c>
      <c r="L193" s="13"/>
      <c r="M193" s="13"/>
      <c r="N193" s="13"/>
      <c r="O193" s="13"/>
      <c r="P193" s="13"/>
      <c r="Q193" s="13"/>
      <c r="R193" s="414"/>
      <c r="S193" s="414"/>
      <c r="T193" s="414"/>
      <c r="U193" s="13"/>
      <c r="V193" s="13"/>
      <c r="W193" s="415"/>
      <c r="X193" s="181"/>
      <c r="Y193" s="14"/>
      <c r="Z193" s="416"/>
    </row>
    <row r="194" spans="2:42" ht="30.75" customHeight="1" x14ac:dyDescent="0.25">
      <c r="B194" s="14"/>
      <c r="C194" s="14"/>
      <c r="D194" s="179"/>
      <c r="E194" s="13"/>
      <c r="F194" s="607" t="s">
        <v>599</v>
      </c>
      <c r="G194" s="413"/>
      <c r="H194" s="13"/>
      <c r="I194" s="13"/>
      <c r="J194" s="13"/>
      <c r="K194" s="605">
        <f>+'[10]PROYEC GASTOS GERENCIA'!$AG$30</f>
        <v>699966340</v>
      </c>
      <c r="L194" s="13"/>
      <c r="M194" s="13"/>
      <c r="N194" s="13"/>
      <c r="O194" s="13"/>
      <c r="P194" s="13"/>
      <c r="Q194" s="13"/>
      <c r="R194" s="414"/>
      <c r="S194" s="414"/>
      <c r="T194" s="414"/>
      <c r="U194" s="13"/>
      <c r="V194" s="13"/>
      <c r="W194" s="415"/>
      <c r="X194" s="181"/>
      <c r="Y194" s="14"/>
      <c r="Z194" s="416"/>
    </row>
    <row r="195" spans="2:42" ht="30.75" customHeight="1" x14ac:dyDescent="0.25">
      <c r="B195" s="14"/>
      <c r="C195" s="14"/>
      <c r="D195" s="179"/>
      <c r="E195" s="13"/>
      <c r="F195" s="607" t="s">
        <v>600</v>
      </c>
      <c r="G195" s="413"/>
      <c r="H195" s="13"/>
      <c r="I195" s="13"/>
      <c r="J195" s="13"/>
      <c r="K195" s="605">
        <f>+'[10]PROYEC GASTOS GERENCIA'!$AG$31</f>
        <v>311874415.76760006</v>
      </c>
      <c r="L195" s="13"/>
      <c r="M195" s="13"/>
      <c r="N195" s="13"/>
      <c r="O195" s="13"/>
      <c r="P195" s="13"/>
      <c r="Q195" s="13"/>
      <c r="R195" s="414"/>
      <c r="S195" s="414"/>
      <c r="T195" s="414"/>
      <c r="U195" s="13"/>
      <c r="V195" s="13"/>
      <c r="W195" s="415"/>
      <c r="X195" s="181"/>
      <c r="Y195" s="14"/>
      <c r="Z195" s="416"/>
    </row>
    <row r="196" spans="2:42" ht="30.75" customHeight="1" x14ac:dyDescent="0.25">
      <c r="B196" s="14"/>
      <c r="C196" s="14"/>
      <c r="D196" s="179"/>
      <c r="E196" s="13"/>
      <c r="F196" s="607" t="s">
        <v>601</v>
      </c>
      <c r="G196" s="413"/>
      <c r="H196" s="13"/>
      <c r="I196" s="13"/>
      <c r="J196" s="13"/>
      <c r="K196" s="605">
        <f>+'[10]PROYEC GASTOS GERENCIA'!$AG$33</f>
        <v>142400618</v>
      </c>
      <c r="L196" s="13"/>
      <c r="M196" s="13"/>
      <c r="N196" s="13"/>
      <c r="O196" s="13"/>
      <c r="P196" s="13"/>
      <c r="Q196" s="13"/>
      <c r="R196" s="414"/>
      <c r="S196" s="414"/>
      <c r="T196" s="414"/>
      <c r="U196" s="13"/>
      <c r="V196" s="13"/>
      <c r="W196" s="415"/>
      <c r="X196" s="181"/>
      <c r="Y196" s="14"/>
      <c r="Z196" s="416"/>
    </row>
    <row r="197" spans="2:42" ht="30.75" customHeight="1" x14ac:dyDescent="0.25">
      <c r="B197" s="14"/>
      <c r="C197" s="14"/>
      <c r="D197" s="179"/>
      <c r="E197" s="13"/>
      <c r="F197" s="608" t="s">
        <v>602</v>
      </c>
      <c r="G197" s="413"/>
      <c r="H197" s="13"/>
      <c r="I197" s="13"/>
      <c r="J197" s="13"/>
      <c r="K197" s="605">
        <f>+'[10]PROYEC GASTOS GERENCIA'!$AG$34</f>
        <v>7200000</v>
      </c>
      <c r="L197" s="13"/>
      <c r="M197" s="13"/>
      <c r="N197" s="13"/>
      <c r="O197" s="13"/>
      <c r="P197" s="13"/>
      <c r="Q197" s="13"/>
      <c r="R197" s="414"/>
      <c r="S197" s="414"/>
      <c r="T197" s="414"/>
      <c r="U197" s="13"/>
      <c r="V197" s="13"/>
      <c r="W197" s="415"/>
      <c r="X197" s="181"/>
      <c r="Y197" s="14"/>
      <c r="Z197" s="416"/>
    </row>
    <row r="198" spans="2:42" ht="30.75" customHeight="1" x14ac:dyDescent="0.25">
      <c r="B198" s="14"/>
      <c r="C198" s="14"/>
      <c r="D198" s="179"/>
      <c r="E198" s="13"/>
      <c r="F198" s="608" t="s">
        <v>603</v>
      </c>
      <c r="G198" s="413"/>
      <c r="H198" s="13"/>
      <c r="I198" s="13"/>
      <c r="J198" s="13"/>
      <c r="K198" s="605">
        <f>+'[10]PROYEC GASTOS GERENCIA'!$AG$38</f>
        <v>15000000</v>
      </c>
      <c r="L198" s="13"/>
      <c r="M198" s="13"/>
      <c r="N198" s="13"/>
      <c r="O198" s="13"/>
      <c r="P198" s="13"/>
      <c r="Q198" s="13"/>
      <c r="R198" s="414"/>
      <c r="S198" s="414"/>
      <c r="T198" s="414"/>
      <c r="U198" s="13"/>
      <c r="V198" s="13"/>
      <c r="W198" s="415"/>
      <c r="X198" s="181"/>
      <c r="Y198" s="14"/>
      <c r="Z198" s="416"/>
    </row>
    <row r="199" spans="2:42" ht="30.75" customHeight="1" x14ac:dyDescent="0.25">
      <c r="B199" s="14"/>
      <c r="C199" s="14"/>
      <c r="D199" s="179"/>
      <c r="E199" s="13"/>
      <c r="F199" s="608" t="s">
        <v>604</v>
      </c>
      <c r="G199" s="413"/>
      <c r="H199" s="13"/>
      <c r="I199" s="13"/>
      <c r="J199" s="13"/>
      <c r="K199" s="605">
        <f>+'[10]PROYEC GASTOS GERENCIA'!$AG$39</f>
        <v>9000000</v>
      </c>
      <c r="L199" s="13"/>
      <c r="M199" s="13"/>
      <c r="N199" s="13"/>
      <c r="O199" s="13"/>
      <c r="P199" s="13"/>
      <c r="Q199" s="13"/>
      <c r="R199" s="414"/>
      <c r="S199" s="414"/>
      <c r="T199" s="414"/>
      <c r="U199" s="13"/>
      <c r="V199" s="13"/>
      <c r="W199" s="415"/>
      <c r="X199" s="181"/>
      <c r="Y199" s="14"/>
      <c r="Z199" s="416"/>
    </row>
    <row r="200" spans="2:42" ht="30.75" customHeight="1" x14ac:dyDescent="0.25">
      <c r="B200" s="14"/>
      <c r="C200" s="14"/>
      <c r="D200" s="179"/>
      <c r="E200" s="13"/>
      <c r="F200" s="610" t="s">
        <v>605</v>
      </c>
      <c r="G200" s="413"/>
      <c r="H200" s="13"/>
      <c r="I200" s="13"/>
      <c r="J200" s="13"/>
      <c r="K200" s="605">
        <f>+'[10]PROYEC GASTOS GERENCIA'!$AG$40</f>
        <v>21000000</v>
      </c>
      <c r="L200" s="13"/>
      <c r="M200" s="13"/>
      <c r="N200" s="13"/>
      <c r="O200" s="13"/>
      <c r="P200" s="13"/>
      <c r="Q200" s="13"/>
      <c r="R200" s="414"/>
      <c r="S200" s="414"/>
      <c r="T200" s="414"/>
      <c r="U200" s="13"/>
      <c r="V200" s="13"/>
      <c r="W200" s="415"/>
      <c r="X200" s="181"/>
      <c r="Y200" s="14"/>
      <c r="Z200" s="416"/>
    </row>
    <row r="201" spans="2:42" ht="30.75" customHeight="1" x14ac:dyDescent="0.25">
      <c r="B201" s="14"/>
      <c r="C201" s="14"/>
      <c r="D201" s="179"/>
      <c r="E201" s="13"/>
      <c r="F201" s="609" t="s">
        <v>606</v>
      </c>
      <c r="G201" s="413"/>
      <c r="H201" s="13"/>
      <c r="I201" s="13"/>
      <c r="J201" s="13"/>
      <c r="K201" s="605">
        <f>+'[10]PROYEC GASTOS GERENCIA'!$AG$41</f>
        <v>32000000</v>
      </c>
      <c r="L201" s="13"/>
      <c r="M201" s="13"/>
      <c r="N201" s="13"/>
      <c r="O201" s="13"/>
      <c r="P201" s="13"/>
      <c r="Q201" s="13"/>
      <c r="R201" s="414"/>
      <c r="S201" s="414"/>
      <c r="T201" s="414"/>
      <c r="U201" s="13"/>
      <c r="V201" s="13"/>
      <c r="W201" s="415"/>
      <c r="X201" s="181"/>
      <c r="Y201" s="14"/>
      <c r="Z201" s="416"/>
    </row>
    <row r="202" spans="2:42" ht="30.75" customHeight="1" x14ac:dyDescent="0.2">
      <c r="B202" s="14"/>
      <c r="C202" s="14"/>
      <c r="D202" s="179"/>
      <c r="E202" s="13"/>
      <c r="F202" s="169" t="s">
        <v>630</v>
      </c>
      <c r="G202" s="413"/>
      <c r="H202" s="13"/>
      <c r="I202" s="13"/>
      <c r="J202" s="13"/>
      <c r="K202" s="605">
        <f>3817602952.7207-828680896.39</f>
        <v>2988922056.3306999</v>
      </c>
      <c r="L202" s="13"/>
      <c r="M202" s="13"/>
      <c r="N202" s="13"/>
      <c r="O202" s="13"/>
      <c r="P202" s="13"/>
      <c r="Q202" s="13"/>
      <c r="R202" s="414"/>
      <c r="S202" s="414"/>
      <c r="T202" s="414"/>
      <c r="U202" s="13"/>
      <c r="V202" s="13"/>
      <c r="W202" s="415"/>
      <c r="X202" s="181"/>
      <c r="Y202" s="14"/>
      <c r="Z202" s="416"/>
    </row>
    <row r="203" spans="2:42" ht="16.5" thickBot="1" x14ac:dyDescent="0.25">
      <c r="B203" s="14"/>
      <c r="C203" s="14"/>
      <c r="D203" s="179"/>
      <c r="E203" s="13"/>
      <c r="F203" s="413"/>
      <c r="G203" s="413"/>
      <c r="H203" s="13"/>
      <c r="I203" s="13"/>
      <c r="J203" s="13"/>
      <c r="K203" s="476"/>
      <c r="L203" s="13"/>
      <c r="M203" s="13"/>
      <c r="N203" s="13"/>
      <c r="O203" s="13"/>
      <c r="P203" s="13"/>
      <c r="Q203" s="13"/>
      <c r="R203" s="414"/>
      <c r="S203" s="414"/>
      <c r="T203" s="414"/>
      <c r="U203" s="13"/>
      <c r="V203" s="13"/>
      <c r="W203" s="415"/>
      <c r="X203" s="181"/>
      <c r="Y203" s="14"/>
      <c r="Z203" s="416"/>
    </row>
    <row r="204" spans="2:42" ht="13.5" thickBot="1" x14ac:dyDescent="0.25">
      <c r="D204" s="179"/>
      <c r="E204" s="13"/>
      <c r="F204" s="180"/>
      <c r="G204" s="13"/>
      <c r="H204" s="13"/>
      <c r="I204" s="13"/>
      <c r="J204" s="182" t="s">
        <v>202</v>
      </c>
      <c r="K204" s="606">
        <f>SUM(K170:K202)</f>
        <v>13600011536.298939</v>
      </c>
      <c r="L204" s="245"/>
      <c r="M204" s="245"/>
      <c r="N204" s="13"/>
      <c r="O204" s="13"/>
      <c r="P204" s="13"/>
      <c r="Q204" s="13"/>
      <c r="R204" s="13"/>
      <c r="S204" s="13"/>
      <c r="T204" s="13"/>
      <c r="U204" s="13"/>
      <c r="V204" s="13"/>
      <c r="W204" s="13"/>
      <c r="X204" s="181"/>
      <c r="Y204" s="14"/>
      <c r="Z204" s="14"/>
      <c r="AO204" s="12"/>
      <c r="AP204" s="12"/>
    </row>
    <row r="205" spans="2:42" x14ac:dyDescent="0.2">
      <c r="B205" s="835" t="s">
        <v>91</v>
      </c>
      <c r="C205" s="836"/>
      <c r="D205" s="836"/>
      <c r="E205" s="837"/>
      <c r="F205" s="837"/>
      <c r="G205" s="853"/>
      <c r="H205" s="853"/>
      <c r="I205" s="853"/>
      <c r="J205" s="853"/>
      <c r="K205" s="853"/>
      <c r="L205" s="853"/>
      <c r="M205" s="853"/>
      <c r="N205" s="853"/>
      <c r="O205" s="853"/>
      <c r="P205" s="853"/>
      <c r="Q205" s="853"/>
      <c r="R205" s="853"/>
      <c r="S205" s="853"/>
      <c r="T205" s="853"/>
      <c r="U205" s="853"/>
      <c r="V205" s="853"/>
      <c r="W205" s="853"/>
      <c r="X205" s="854"/>
      <c r="AO205" s="12" t="s">
        <v>61</v>
      </c>
      <c r="AP205" s="12" t="s">
        <v>60</v>
      </c>
    </row>
    <row r="206" spans="2:42" ht="12.75" customHeight="1" x14ac:dyDescent="0.2">
      <c r="B206" s="843" t="s">
        <v>2</v>
      </c>
      <c r="C206" s="839" t="s">
        <v>107</v>
      </c>
      <c r="D206" s="839" t="s">
        <v>108</v>
      </c>
      <c r="E206" s="834" t="s">
        <v>87</v>
      </c>
      <c r="F206" s="834" t="s">
        <v>3</v>
      </c>
      <c r="G206" s="834" t="s">
        <v>4</v>
      </c>
      <c r="H206" s="839" t="s">
        <v>138</v>
      </c>
      <c r="I206" s="834" t="s">
        <v>93</v>
      </c>
      <c r="J206" s="834" t="s">
        <v>134</v>
      </c>
      <c r="K206" s="834" t="s">
        <v>139</v>
      </c>
      <c r="L206" s="834" t="s">
        <v>6</v>
      </c>
      <c r="M206" s="834" t="s">
        <v>102</v>
      </c>
      <c r="N206" s="839" t="s">
        <v>136</v>
      </c>
      <c r="O206" s="834" t="s">
        <v>137</v>
      </c>
      <c r="P206" s="834" t="s">
        <v>7</v>
      </c>
      <c r="Q206" s="834"/>
      <c r="R206" s="834"/>
      <c r="S206" s="834"/>
      <c r="T206" s="834"/>
      <c r="U206" s="834"/>
      <c r="V206" s="834" t="s">
        <v>21</v>
      </c>
      <c r="W206" s="834" t="s">
        <v>39</v>
      </c>
      <c r="X206" s="847" t="s">
        <v>0</v>
      </c>
      <c r="AO206" s="12" t="s">
        <v>62</v>
      </c>
      <c r="AP206" s="12" t="s">
        <v>60</v>
      </c>
    </row>
    <row r="207" spans="2:42" ht="29.25" customHeight="1" x14ac:dyDescent="0.2">
      <c r="B207" s="843"/>
      <c r="C207" s="845"/>
      <c r="D207" s="845"/>
      <c r="E207" s="834"/>
      <c r="F207" s="834"/>
      <c r="G207" s="834"/>
      <c r="H207" s="845"/>
      <c r="I207" s="834"/>
      <c r="J207" s="834"/>
      <c r="K207" s="834"/>
      <c r="L207" s="834"/>
      <c r="M207" s="834"/>
      <c r="N207" s="845"/>
      <c r="O207" s="834"/>
      <c r="P207" s="834" t="s">
        <v>40</v>
      </c>
      <c r="Q207" s="834"/>
      <c r="R207" s="834" t="s">
        <v>41</v>
      </c>
      <c r="S207" s="834"/>
      <c r="T207" s="834" t="s">
        <v>42</v>
      </c>
      <c r="U207" s="834"/>
      <c r="V207" s="834"/>
      <c r="W207" s="834"/>
      <c r="X207" s="847"/>
      <c r="AO207" s="12" t="s">
        <v>65</v>
      </c>
      <c r="AP207" s="12" t="s">
        <v>60</v>
      </c>
    </row>
    <row r="208" spans="2:42" ht="28.5" customHeight="1" x14ac:dyDescent="0.2">
      <c r="B208" s="843"/>
      <c r="C208" s="846"/>
      <c r="D208" s="846"/>
      <c r="E208" s="834"/>
      <c r="F208" s="834"/>
      <c r="G208" s="834"/>
      <c r="H208" s="846"/>
      <c r="I208" s="834"/>
      <c r="J208" s="834"/>
      <c r="K208" s="834"/>
      <c r="L208" s="834"/>
      <c r="M208" s="834"/>
      <c r="N208" s="846"/>
      <c r="O208" s="834"/>
      <c r="P208" s="19" t="s">
        <v>18</v>
      </c>
      <c r="Q208" s="19" t="s">
        <v>19</v>
      </c>
      <c r="R208" s="19" t="s">
        <v>18</v>
      </c>
      <c r="S208" s="19" t="s">
        <v>19</v>
      </c>
      <c r="T208" s="19" t="s">
        <v>18</v>
      </c>
      <c r="U208" s="19" t="s">
        <v>19</v>
      </c>
      <c r="V208" s="834"/>
      <c r="W208" s="834"/>
      <c r="X208" s="847"/>
      <c r="AO208" s="12" t="s">
        <v>70</v>
      </c>
      <c r="AP208" s="12" t="s">
        <v>60</v>
      </c>
    </row>
    <row r="209" spans="2:42" x14ac:dyDescent="0.2">
      <c r="B209" s="3"/>
      <c r="C209" s="4"/>
      <c r="D209" s="4"/>
      <c r="E209" s="5"/>
      <c r="F209" s="5"/>
      <c r="G209" s="5"/>
      <c r="H209" s="5"/>
      <c r="I209" s="5"/>
      <c r="J209" s="5"/>
      <c r="K209" s="5"/>
      <c r="L209" s="5"/>
      <c r="M209" s="5"/>
      <c r="N209" s="5"/>
      <c r="O209" s="5"/>
      <c r="P209" s="5"/>
      <c r="Q209" s="5"/>
      <c r="R209" s="5"/>
      <c r="S209" s="5"/>
      <c r="T209" s="5"/>
      <c r="U209" s="5"/>
      <c r="V209" s="5"/>
      <c r="W209" s="5"/>
      <c r="X209" s="6"/>
      <c r="AO209" s="12" t="s">
        <v>72</v>
      </c>
      <c r="AP209" s="12" t="s">
        <v>60</v>
      </c>
    </row>
    <row r="210" spans="2:42" x14ac:dyDescent="0.2">
      <c r="B210" s="3"/>
      <c r="C210" s="4"/>
      <c r="D210" s="4"/>
      <c r="E210" s="5"/>
      <c r="F210" s="5"/>
      <c r="G210" s="5"/>
      <c r="H210" s="5"/>
      <c r="I210" s="5"/>
      <c r="J210" s="5"/>
      <c r="K210" s="5"/>
      <c r="L210" s="5"/>
      <c r="M210" s="5"/>
      <c r="N210" s="5"/>
      <c r="O210" s="5"/>
      <c r="P210" s="5"/>
      <c r="Q210" s="5"/>
      <c r="R210" s="5"/>
      <c r="S210" s="5"/>
      <c r="T210" s="5"/>
      <c r="U210" s="5"/>
      <c r="V210" s="5"/>
      <c r="W210" s="5"/>
      <c r="X210" s="6"/>
      <c r="AO210" s="12" t="s">
        <v>73</v>
      </c>
      <c r="AP210" s="12" t="s">
        <v>60</v>
      </c>
    </row>
    <row r="211" spans="2:42" x14ac:dyDescent="0.2">
      <c r="B211" s="3"/>
      <c r="C211" s="4"/>
      <c r="D211" s="4"/>
      <c r="E211" s="5"/>
      <c r="F211" s="5"/>
      <c r="G211" s="5"/>
      <c r="H211" s="5"/>
      <c r="I211" s="5"/>
      <c r="J211" s="5"/>
      <c r="K211" s="5"/>
      <c r="L211" s="5"/>
      <c r="M211" s="5"/>
      <c r="N211" s="5"/>
      <c r="O211" s="5"/>
      <c r="P211" s="5"/>
      <c r="Q211" s="5"/>
      <c r="R211" s="5"/>
      <c r="S211" s="5"/>
      <c r="T211" s="5"/>
      <c r="U211" s="5"/>
      <c r="V211" s="5"/>
      <c r="W211" s="5"/>
      <c r="X211" s="6"/>
    </row>
    <row r="212" spans="2:42" ht="13.5" thickBot="1" x14ac:dyDescent="0.25">
      <c r="B212" s="7"/>
      <c r="C212" s="8"/>
      <c r="D212" s="8"/>
      <c r="E212" s="9"/>
      <c r="F212" s="9"/>
      <c r="G212" s="9"/>
      <c r="H212" s="9"/>
      <c r="I212" s="9"/>
      <c r="J212" s="9"/>
      <c r="K212" s="9"/>
      <c r="L212" s="9"/>
      <c r="M212" s="9"/>
      <c r="N212" s="9"/>
      <c r="O212" s="9"/>
      <c r="P212" s="9"/>
      <c r="Q212" s="9"/>
      <c r="R212" s="9"/>
      <c r="S212" s="9"/>
      <c r="T212" s="9"/>
      <c r="U212" s="9"/>
      <c r="V212" s="9"/>
      <c r="W212" s="9"/>
      <c r="X212" s="10"/>
      <c r="AO212" s="12" t="s">
        <v>66</v>
      </c>
      <c r="AP212" s="12" t="s">
        <v>67</v>
      </c>
    </row>
    <row r="213" spans="2:42" x14ac:dyDescent="0.2">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AO213" s="12" t="s">
        <v>104</v>
      </c>
      <c r="AP213" s="12" t="s">
        <v>67</v>
      </c>
    </row>
    <row r="214" spans="2:42" ht="13.5" thickBot="1" x14ac:dyDescent="0.25">
      <c r="AO214" s="12" t="s">
        <v>68</v>
      </c>
      <c r="AP214" s="12" t="s">
        <v>67</v>
      </c>
    </row>
    <row r="215" spans="2:42" ht="15.75" customHeight="1" x14ac:dyDescent="0.2">
      <c r="B215" s="835" t="s">
        <v>43</v>
      </c>
      <c r="C215" s="836"/>
      <c r="D215" s="836"/>
      <c r="E215" s="837"/>
      <c r="F215" s="837"/>
      <c r="G215" s="837"/>
      <c r="H215" s="837"/>
      <c r="I215" s="837"/>
      <c r="J215" s="837"/>
      <c r="K215" s="837"/>
      <c r="L215" s="837"/>
      <c r="M215" s="837"/>
      <c r="N215" s="837"/>
      <c r="O215" s="837"/>
      <c r="P215" s="837"/>
      <c r="Q215" s="837"/>
      <c r="R215" s="837"/>
      <c r="S215" s="837"/>
      <c r="T215" s="838"/>
      <c r="V215" s="24"/>
      <c r="W215" s="14"/>
      <c r="AO215" s="12" t="s">
        <v>69</v>
      </c>
      <c r="AP215" s="12" t="s">
        <v>67</v>
      </c>
    </row>
    <row r="216" spans="2:42" ht="17.25" customHeight="1" x14ac:dyDescent="0.2">
      <c r="B216" s="843" t="s">
        <v>2</v>
      </c>
      <c r="C216" s="839" t="s">
        <v>107</v>
      </c>
      <c r="D216" s="839" t="s">
        <v>108</v>
      </c>
      <c r="E216" s="834" t="s">
        <v>87</v>
      </c>
      <c r="F216" s="834" t="s">
        <v>44</v>
      </c>
      <c r="G216" s="834" t="s">
        <v>4</v>
      </c>
      <c r="H216" s="834" t="s">
        <v>93</v>
      </c>
      <c r="I216" s="834" t="s">
        <v>139</v>
      </c>
      <c r="J216" s="834" t="s">
        <v>6</v>
      </c>
      <c r="K216" s="834" t="s">
        <v>102</v>
      </c>
      <c r="L216" s="834" t="s">
        <v>45</v>
      </c>
      <c r="M216" s="834" t="s">
        <v>137</v>
      </c>
      <c r="N216" s="834" t="s">
        <v>7</v>
      </c>
      <c r="O216" s="834"/>
      <c r="P216" s="834"/>
      <c r="Q216" s="834"/>
      <c r="R216" s="834" t="s">
        <v>21</v>
      </c>
      <c r="S216" s="834" t="s">
        <v>39</v>
      </c>
      <c r="T216" s="847" t="s">
        <v>0</v>
      </c>
      <c r="V216" s="14"/>
      <c r="W216" s="14"/>
      <c r="X216" s="14"/>
      <c r="AP216" s="12" t="s">
        <v>67</v>
      </c>
    </row>
    <row r="217" spans="2:42" ht="42" customHeight="1" x14ac:dyDescent="0.2">
      <c r="B217" s="843"/>
      <c r="C217" s="845"/>
      <c r="D217" s="845"/>
      <c r="E217" s="834"/>
      <c r="F217" s="834"/>
      <c r="G217" s="834"/>
      <c r="H217" s="834"/>
      <c r="I217" s="834"/>
      <c r="J217" s="834"/>
      <c r="K217" s="834"/>
      <c r="L217" s="834"/>
      <c r="M217" s="834"/>
      <c r="N217" s="834" t="s">
        <v>92</v>
      </c>
      <c r="O217" s="834"/>
      <c r="P217" s="834" t="s">
        <v>46</v>
      </c>
      <c r="Q217" s="834"/>
      <c r="R217" s="834"/>
      <c r="S217" s="834"/>
      <c r="T217" s="847"/>
      <c r="V217" s="14"/>
      <c r="W217" s="14"/>
      <c r="X217" s="14"/>
      <c r="AP217" s="12"/>
    </row>
    <row r="218" spans="2:42" ht="25.5" x14ac:dyDescent="0.2">
      <c r="B218" s="843"/>
      <c r="C218" s="846"/>
      <c r="D218" s="846"/>
      <c r="E218" s="834"/>
      <c r="F218" s="834"/>
      <c r="G218" s="834"/>
      <c r="H218" s="834"/>
      <c r="I218" s="834"/>
      <c r="J218" s="834"/>
      <c r="K218" s="834"/>
      <c r="L218" s="834"/>
      <c r="M218" s="834"/>
      <c r="N218" s="19" t="s">
        <v>18</v>
      </c>
      <c r="O218" s="19" t="s">
        <v>19</v>
      </c>
      <c r="P218" s="19" t="s">
        <v>18</v>
      </c>
      <c r="Q218" s="19" t="s">
        <v>19</v>
      </c>
      <c r="R218" s="834"/>
      <c r="S218" s="834"/>
      <c r="T218" s="847"/>
      <c r="V218" s="14"/>
      <c r="W218" s="14"/>
      <c r="X218" s="14"/>
    </row>
    <row r="219" spans="2:42" x14ac:dyDescent="0.2">
      <c r="B219" s="3"/>
      <c r="C219" s="4"/>
      <c r="D219" s="4"/>
      <c r="E219" s="5"/>
      <c r="F219" s="5"/>
      <c r="G219" s="5"/>
      <c r="H219" s="5"/>
      <c r="I219" s="5"/>
      <c r="J219" s="5"/>
      <c r="K219" s="5"/>
      <c r="L219" s="5"/>
      <c r="M219" s="5"/>
      <c r="N219" s="5"/>
      <c r="O219" s="5"/>
      <c r="P219" s="5"/>
      <c r="Q219" s="5"/>
      <c r="R219" s="5"/>
      <c r="S219" s="5"/>
      <c r="T219" s="6"/>
      <c r="AO219" s="12" t="s">
        <v>63</v>
      </c>
      <c r="AP219" s="12" t="s">
        <v>64</v>
      </c>
    </row>
    <row r="220" spans="2:42" x14ac:dyDescent="0.2">
      <c r="B220" s="3"/>
      <c r="C220" s="4"/>
      <c r="D220" s="4"/>
      <c r="E220" s="5"/>
      <c r="F220" s="5"/>
      <c r="G220" s="5"/>
      <c r="H220" s="5"/>
      <c r="I220" s="5"/>
      <c r="J220" s="5"/>
      <c r="K220" s="5"/>
      <c r="L220" s="5"/>
      <c r="M220" s="5"/>
      <c r="N220" s="5"/>
      <c r="O220" s="5"/>
      <c r="P220" s="5"/>
      <c r="Q220" s="5"/>
      <c r="R220" s="5"/>
      <c r="S220" s="5"/>
      <c r="T220" s="6"/>
    </row>
    <row r="221" spans="2:42" x14ac:dyDescent="0.2">
      <c r="B221" s="3"/>
      <c r="C221" s="4"/>
      <c r="D221" s="4"/>
      <c r="E221" s="5"/>
      <c r="F221" s="5"/>
      <c r="G221" s="5"/>
      <c r="H221" s="5"/>
      <c r="I221" s="5"/>
      <c r="J221" s="5"/>
      <c r="K221" s="5"/>
      <c r="L221" s="5"/>
      <c r="M221" s="5"/>
      <c r="N221" s="5"/>
      <c r="O221" s="5"/>
      <c r="P221" s="5"/>
      <c r="Q221" s="5"/>
      <c r="R221" s="5"/>
      <c r="S221" s="5"/>
      <c r="T221" s="6"/>
      <c r="AO221" s="17" t="s">
        <v>106</v>
      </c>
      <c r="AP221" s="12" t="s">
        <v>71</v>
      </c>
    </row>
    <row r="222" spans="2:42" x14ac:dyDescent="0.2">
      <c r="B222" s="3"/>
      <c r="C222" s="4"/>
      <c r="D222" s="4"/>
      <c r="E222" s="5"/>
      <c r="F222" s="5"/>
      <c r="G222" s="5"/>
      <c r="H222" s="5"/>
      <c r="I222" s="5"/>
      <c r="J222" s="5"/>
      <c r="K222" s="5"/>
      <c r="L222" s="5"/>
      <c r="M222" s="5"/>
      <c r="N222" s="5"/>
      <c r="O222" s="5"/>
      <c r="P222" s="5"/>
      <c r="Q222" s="5"/>
      <c r="R222" s="5"/>
      <c r="S222" s="5"/>
      <c r="T222" s="6"/>
      <c r="AO222" s="17" t="s">
        <v>74</v>
      </c>
      <c r="AP222" s="12" t="s">
        <v>71</v>
      </c>
    </row>
    <row r="223" spans="2:42" ht="13.5" thickBot="1" x14ac:dyDescent="0.25">
      <c r="B223" s="7"/>
      <c r="C223" s="8"/>
      <c r="D223" s="8"/>
      <c r="E223" s="9"/>
      <c r="F223" s="9"/>
      <c r="G223" s="9"/>
      <c r="H223" s="9"/>
      <c r="I223" s="9"/>
      <c r="J223" s="9"/>
      <c r="K223" s="9"/>
      <c r="L223" s="9"/>
      <c r="M223" s="9"/>
      <c r="N223" s="9"/>
      <c r="O223" s="9"/>
      <c r="P223" s="9"/>
      <c r="Q223" s="9"/>
      <c r="R223" s="9"/>
      <c r="S223" s="9"/>
      <c r="T223" s="10"/>
    </row>
    <row r="225" spans="11:41" x14ac:dyDescent="0.2">
      <c r="AO225" s="12" t="s">
        <v>78</v>
      </c>
    </row>
    <row r="226" spans="11:41" x14ac:dyDescent="0.2">
      <c r="L226" s="1" t="s">
        <v>47</v>
      </c>
      <c r="AO226" s="12" t="s">
        <v>98</v>
      </c>
    </row>
    <row r="229" spans="11:41" x14ac:dyDescent="0.2">
      <c r="AO229" s="2" t="s">
        <v>105</v>
      </c>
    </row>
    <row r="230" spans="11:41" x14ac:dyDescent="0.2">
      <c r="K230" s="250"/>
      <c r="AO230" s="2" t="s">
        <v>51</v>
      </c>
    </row>
    <row r="231" spans="11:41" x14ac:dyDescent="0.2">
      <c r="AO231" s="5" t="s">
        <v>109</v>
      </c>
    </row>
    <row r="232" spans="11:41" x14ac:dyDescent="0.2">
      <c r="K232" s="290"/>
    </row>
    <row r="234" spans="11:41" x14ac:dyDescent="0.2">
      <c r="K234" s="291"/>
    </row>
  </sheetData>
  <autoFilter ref="A1:AQ156" xr:uid="{00000000-0009-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dataConsolidate/>
  <mergeCells count="183">
    <mergeCell ref="AJ3:AJ5"/>
    <mergeCell ref="C167:C169"/>
    <mergeCell ref="D167:D169"/>
    <mergeCell ref="C206:C208"/>
    <mergeCell ref="D206:D208"/>
    <mergeCell ref="C82:C84"/>
    <mergeCell ref="D82:D84"/>
    <mergeCell ref="C92:C94"/>
    <mergeCell ref="D92:D94"/>
    <mergeCell ref="C3:C5"/>
    <mergeCell ref="D3:D5"/>
    <mergeCell ref="C72:C74"/>
    <mergeCell ref="D72:D74"/>
    <mergeCell ref="B71:AI71"/>
    <mergeCell ref="B72:B74"/>
    <mergeCell ref="E72:E74"/>
    <mergeCell ref="F72:F74"/>
    <mergeCell ref="J72:J74"/>
    <mergeCell ref="K72:K74"/>
    <mergeCell ref="L72:L74"/>
    <mergeCell ref="AI3:AI5"/>
    <mergeCell ref="Q4:R4"/>
    <mergeCell ref="S4:T4"/>
    <mergeCell ref="U4:V4"/>
    <mergeCell ref="W4:X4"/>
    <mergeCell ref="N92:N94"/>
    <mergeCell ref="N167:N169"/>
    <mergeCell ref="B166:Z166"/>
    <mergeCell ref="B167:B169"/>
    <mergeCell ref="E167:E169"/>
    <mergeCell ref="F167:F169"/>
    <mergeCell ref="N206:N208"/>
    <mergeCell ref="B91:AI91"/>
    <mergeCell ref="O206:O208"/>
    <mergeCell ref="P206:U206"/>
    <mergeCell ref="V206:V208"/>
    <mergeCell ref="W206:W208"/>
    <mergeCell ref="B205:X205"/>
    <mergeCell ref="B206:B208"/>
    <mergeCell ref="J206:J208"/>
    <mergeCell ref="K206:K208"/>
    <mergeCell ref="E206:E208"/>
    <mergeCell ref="F206:F208"/>
    <mergeCell ref="G206:G208"/>
    <mergeCell ref="H206:H208"/>
    <mergeCell ref="I206:I208"/>
    <mergeCell ref="L206:L208"/>
    <mergeCell ref="G167:G169"/>
    <mergeCell ref="AJ91:AN91"/>
    <mergeCell ref="O72:O74"/>
    <mergeCell ref="O82:O84"/>
    <mergeCell ref="S216:S218"/>
    <mergeCell ref="T216:T218"/>
    <mergeCell ref="X206:X208"/>
    <mergeCell ref="P207:Q207"/>
    <mergeCell ref="R207:S207"/>
    <mergeCell ref="T207:U207"/>
    <mergeCell ref="X167:X169"/>
    <mergeCell ref="R216:R218"/>
    <mergeCell ref="P217:Q217"/>
    <mergeCell ref="Y167:Y169"/>
    <mergeCell ref="Z167:Z169"/>
    <mergeCell ref="P168:Q168"/>
    <mergeCell ref="R168:S168"/>
    <mergeCell ref="T168:U168"/>
    <mergeCell ref="O167:O169"/>
    <mergeCell ref="P167:U167"/>
    <mergeCell ref="V167:V169"/>
    <mergeCell ref="W167:W169"/>
    <mergeCell ref="AI82:AI84"/>
    <mergeCell ref="B81:AI81"/>
    <mergeCell ref="F82:F84"/>
    <mergeCell ref="B216:B218"/>
    <mergeCell ref="E216:E218"/>
    <mergeCell ref="F216:F218"/>
    <mergeCell ref="G216:G218"/>
    <mergeCell ref="C216:C218"/>
    <mergeCell ref="D216:D218"/>
    <mergeCell ref="H216:H218"/>
    <mergeCell ref="I216:I218"/>
    <mergeCell ref="B92:B94"/>
    <mergeCell ref="E92:E94"/>
    <mergeCell ref="F92:F94"/>
    <mergeCell ref="G92:G94"/>
    <mergeCell ref="H92:H94"/>
    <mergeCell ref="I92:I94"/>
    <mergeCell ref="B82:B84"/>
    <mergeCell ref="E82:E84"/>
    <mergeCell ref="H167:H169"/>
    <mergeCell ref="J216:J218"/>
    <mergeCell ref="I167:I169"/>
    <mergeCell ref="J167:J169"/>
    <mergeCell ref="K167:K169"/>
    <mergeCell ref="L167:L169"/>
    <mergeCell ref="AL92:AL94"/>
    <mergeCell ref="O92:O94"/>
    <mergeCell ref="M92:M94"/>
    <mergeCell ref="M167:M169"/>
    <mergeCell ref="J92:J94"/>
    <mergeCell ref="K92:K94"/>
    <mergeCell ref="AH82:AH84"/>
    <mergeCell ref="Q83:R83"/>
    <mergeCell ref="S83:T83"/>
    <mergeCell ref="U83:V83"/>
    <mergeCell ref="W83:X83"/>
    <mergeCell ref="Y83:Z83"/>
    <mergeCell ref="AA83:AB83"/>
    <mergeCell ref="AC83:AD83"/>
    <mergeCell ref="AE83:AF83"/>
    <mergeCell ref="M82:M84"/>
    <mergeCell ref="AM92:AM94"/>
    <mergeCell ref="AN92:AN94"/>
    <mergeCell ref="P93:Q93"/>
    <mergeCell ref="R93:S93"/>
    <mergeCell ref="T93:U93"/>
    <mergeCell ref="V93:W93"/>
    <mergeCell ref="X93:Y93"/>
    <mergeCell ref="Z93:AA93"/>
    <mergeCell ref="AB93:AC93"/>
    <mergeCell ref="P92:AI92"/>
    <mergeCell ref="AJ92:AJ94"/>
    <mergeCell ref="AK92:AK94"/>
    <mergeCell ref="AD93:AE93"/>
    <mergeCell ref="AF93:AG93"/>
    <mergeCell ref="AH93:AI93"/>
    <mergeCell ref="Q82:AF82"/>
    <mergeCell ref="N82:N84"/>
    <mergeCell ref="AG82:AG84"/>
    <mergeCell ref="AH72:AH74"/>
    <mergeCell ref="AI72:AI74"/>
    <mergeCell ref="Q73:R73"/>
    <mergeCell ref="S73:T73"/>
    <mergeCell ref="U73:V73"/>
    <mergeCell ref="W73:X73"/>
    <mergeCell ref="Y73:Z73"/>
    <mergeCell ref="AA73:AB73"/>
    <mergeCell ref="AC73:AD73"/>
    <mergeCell ref="AE73:AF73"/>
    <mergeCell ref="Q72:AF72"/>
    <mergeCell ref="AG72:AG74"/>
    <mergeCell ref="K3:K5"/>
    <mergeCell ref="L3:L5"/>
    <mergeCell ref="M3:M5"/>
    <mergeCell ref="P3:P5"/>
    <mergeCell ref="O3:O5"/>
    <mergeCell ref="N3:N5"/>
    <mergeCell ref="G82:G84"/>
    <mergeCell ref="H82:H84"/>
    <mergeCell ref="I82:I84"/>
    <mergeCell ref="J82:J84"/>
    <mergeCell ref="K82:K84"/>
    <mergeCell ref="L82:L84"/>
    <mergeCell ref="M72:M74"/>
    <mergeCell ref="P72:P74"/>
    <mergeCell ref="N72:N74"/>
    <mergeCell ref="G72:G74"/>
    <mergeCell ref="H72:H74"/>
    <mergeCell ref="I72:I74"/>
    <mergeCell ref="P82:P84"/>
    <mergeCell ref="M206:M208"/>
    <mergeCell ref="K216:K218"/>
    <mergeCell ref="B215:T215"/>
    <mergeCell ref="M216:M218"/>
    <mergeCell ref="N216:Q216"/>
    <mergeCell ref="N217:O217"/>
    <mergeCell ref="L216:L218"/>
    <mergeCell ref="L92:L94"/>
    <mergeCell ref="B1:AI1"/>
    <mergeCell ref="B2:AI2"/>
    <mergeCell ref="B3:B5"/>
    <mergeCell ref="E3:E5"/>
    <mergeCell ref="F3:F5"/>
    <mergeCell ref="G3:G5"/>
    <mergeCell ref="H3:H5"/>
    <mergeCell ref="I3:I5"/>
    <mergeCell ref="AE4:AF4"/>
    <mergeCell ref="J3:J5"/>
    <mergeCell ref="Y4:Z4"/>
    <mergeCell ref="AA4:AB4"/>
    <mergeCell ref="AC4:AD4"/>
    <mergeCell ref="Q3:AF3"/>
    <mergeCell ref="AG3:AG5"/>
    <mergeCell ref="AH3:AH5"/>
  </mergeCells>
  <phoneticPr fontId="11" type="noConversion"/>
  <dataValidations count="28">
    <dataValidation type="list" allowBlank="1" showInputMessage="1" showErrorMessage="1" sqref="N209:N213 O119:O121 O79 O68:O69 O86:O89 N183:N203 N122:N163 N95:N118 O6:O66" xr:uid="{00000000-0002-0000-0000-000000000000}">
      <formula1>$AO$3:$AO$4</formula1>
    </dataValidation>
    <dataValidation type="list" allowBlank="1" showInputMessage="1" showErrorMessage="1" sqref="H209:H213 H122:H164 H95:H118" xr:uid="{00000000-0002-0000-0000-000001000000}">
      <formula1>$AO$85:$AO$91</formula1>
    </dataValidation>
    <dataValidation type="list" allowBlank="1" showInputMessage="1" showErrorMessage="1" sqref="K209:K213 K122:K155 K95:K107 K163:K164 K109:K118" xr:uid="{00000000-0002-0000-0000-000002000000}">
      <formula1>$AO$169:$AO$182</formula1>
    </dataValidation>
    <dataValidation type="list" allowBlank="1" showInputMessage="1" showErrorMessage="1" sqref="I219:I223" xr:uid="{00000000-0002-0000-0000-000003000000}">
      <formula1>$AO$164:$AO$182</formula1>
    </dataValidation>
    <dataValidation type="list" allowBlank="1" showInputMessage="1" showErrorMessage="1" sqref="J209:J213 J95:J107 J109:J164" xr:uid="{00000000-0002-0000-0000-000004000000}">
      <formula1>$AO$221:$AO$222</formula1>
    </dataValidation>
    <dataValidation type="list" allowBlank="1" showInputMessage="1" showErrorMessage="1" sqref="H119:H121 H87:H89 H68:H69 H6:H66" xr:uid="{00000000-0002-0000-0000-000005000000}">
      <formula1>$AO$74:$AO$81</formula1>
    </dataValidation>
    <dataValidation type="list" allowBlank="1" showInputMessage="1" showErrorMessage="1" sqref="K119:K121 K75:K79 K85 K6:K69" xr:uid="{00000000-0002-0000-0000-000006000000}">
      <formula1>$AO$212:$AO$215</formula1>
    </dataValidation>
    <dataValidation type="list" allowBlank="1" showInputMessage="1" showErrorMessage="1" sqref="K86:K89" xr:uid="{00000000-0002-0000-0000-000007000000}">
      <formula1>$AO$219</formula1>
    </dataValidation>
    <dataValidation type="list" allowBlank="1" showInputMessage="1" showErrorMessage="1" sqref="L86:L89" xr:uid="{00000000-0002-0000-0000-000008000000}">
      <formula1>$AO$168</formula1>
    </dataValidation>
    <dataValidation type="list" allowBlank="1" showInputMessage="1" showErrorMessage="1" sqref="L68:L69 L6:L66" xr:uid="{00000000-0002-0000-0000-000009000000}">
      <formula1>$AO$164:$AO$165</formula1>
    </dataValidation>
    <dataValidation type="list" allowBlank="1" showInputMessage="1" showErrorMessage="1" sqref="H85:H86 H76:H79 H67" xr:uid="{00000000-0002-0000-0000-00000A000000}">
      <formula1>$AQ$247:$AQ$249</formula1>
    </dataValidation>
    <dataValidation type="list" allowBlank="1" showInputMessage="1" showErrorMessage="1" sqref="J85" xr:uid="{00000000-0002-0000-0000-00000B000000}">
      <formula1>$AQ$243:$AQ$244</formula1>
    </dataValidation>
    <dataValidation type="list" allowBlank="1" showInputMessage="1" showErrorMessage="1" sqref="H75" xr:uid="{00000000-0002-0000-0000-00000C000000}">
      <formula1>$AQ$87:$AQ$94</formula1>
    </dataValidation>
    <dataValidation type="list" allowBlank="1" showInputMessage="1" showErrorMessage="1" sqref="O85 O67 O75:O78" xr:uid="{00000000-0002-0000-0000-00000D000000}">
      <formula1>$AQ$3:$AQ$4</formula1>
    </dataValidation>
    <dataValidation type="list" allowBlank="1" showInputMessage="1" showErrorMessage="1" sqref="M36" xr:uid="{00000000-0002-0000-0000-00000E000000}">
      <formula1>"322461955"</formula1>
    </dataValidation>
    <dataValidation type="list" allowBlank="1" showInputMessage="1" showErrorMessage="1" sqref="M37" xr:uid="{00000000-0002-0000-0000-00000F000000}">
      <formula1>"527430986"</formula1>
    </dataValidation>
    <dataValidation type="list" allowBlank="1" showInputMessage="1" showErrorMessage="1" sqref="M38" xr:uid="{00000000-0002-0000-0000-000010000000}">
      <formula1>"946868429"</formula1>
    </dataValidation>
    <dataValidation type="list" allowBlank="1" showInputMessage="1" showErrorMessage="1" sqref="M39" xr:uid="{00000000-0002-0000-0000-000011000000}">
      <formula1>"742463191"</formula1>
    </dataValidation>
    <dataValidation type="list" allowBlank="1" showInputMessage="1" showErrorMessage="1" sqref="M41" xr:uid="{00000000-0002-0000-0000-000012000000}">
      <formula1>"5716957088"</formula1>
    </dataValidation>
    <dataValidation type="list" allowBlank="1" showInputMessage="1" showErrorMessage="1" sqref="AI6:AI19" xr:uid="{00000000-0002-0000-0000-000013000000}">
      <formula1>$AL$3:$AL$6</formula1>
    </dataValidation>
    <dataValidation type="list" allowBlank="1" showInputMessage="1" showErrorMessage="1" sqref="J183:J203" xr:uid="{00000000-0002-0000-0000-000014000000}">
      <formula1>$AO$225:$AO$226</formula1>
    </dataValidation>
    <dataValidation type="list" allowBlank="1" showInputMessage="1" showErrorMessage="1" sqref="H183:H203" xr:uid="{00000000-0002-0000-0000-000015000000}">
      <formula1>$AO$229:$AO$231</formula1>
    </dataValidation>
    <dataValidation type="list" allowBlank="1" showInputMessage="1" showErrorMessage="1" sqref="L85 L67 L75:L79" xr:uid="{00000000-0002-0000-0000-000016000000}">
      <formula1>$AQ$182:$AQ$184</formula1>
    </dataValidation>
    <dataValidation type="list" allowBlank="1" showInputMessage="1" showErrorMessage="1" sqref="M219:M223 O122:O164 O95:O118 O183:O203 P79 P86:P89 O209:O213 P68:P69 P6:P66" xr:uid="{00000000-0002-0000-0000-000017000000}">
      <formula1>$AO$5:$AO$71</formula1>
    </dataValidation>
    <dataValidation type="list" allowBlank="1" showInputMessage="1" showErrorMessage="1" sqref="P85 P75:P78 P67" xr:uid="{00000000-0002-0000-0000-000018000000}">
      <formula1>$AQ$5:$AQ$84</formula1>
    </dataValidation>
    <dataValidation type="list" allowBlank="1" showInputMessage="1" showErrorMessage="1" sqref="J108" xr:uid="{00000000-0002-0000-0000-000019000000}">
      <formula1>$AO$222:$AO$223</formula1>
    </dataValidation>
    <dataValidation type="list" allowBlank="1" showInputMessage="1" showErrorMessage="1" sqref="K108" xr:uid="{00000000-0002-0000-0000-00001A000000}">
      <formula1>$AO$170:$AO$183</formula1>
    </dataValidation>
    <dataValidation type="list" allowBlank="1" showInputMessage="1" showErrorMessage="1" sqref="M42" xr:uid="{00000000-0002-0000-0000-00001B000000}">
      <formula1>"4813231934"</formula1>
    </dataValidation>
  </dataValidations>
  <hyperlinks>
    <hyperlink ref="AI55" location="'Detalle Plan de Adquisiciones'!E9" display="PONTON CONSTRUIDO CON LOS RECURSOS DEL CONTRATO LP 005-2011." xr:uid="{00000000-0004-0000-0000-000000000000}"/>
    <hyperlink ref="AI54" location="'Detalle Plan de Adquisiciones'!F15" display="PONTON CONSTRUIDO CON LOS RECURSOS DEL CONTRATO de los ID (97,98,99)." xr:uid="{00000000-0004-0000-0000-000001000000}"/>
    <hyperlink ref="AI56" location="'Detalle Plan de Adquisiciones'!E16" display="PONTON SE CONSTRUIRA CON RECURSOS DEL CONTRATO FURATENA" xr:uid="{00000000-0004-0000-0000-000002000000}"/>
    <hyperlink ref="AI57" location="'Detalle Plan de Adquisiciones'!E16" display="PONTON SE CONSTRUIRA CON RECURSOS DEL CONTRATO FURATENA" xr:uid="{00000000-0004-0000-0000-000003000000}"/>
    <hyperlink ref="AI58" location="'Detalle Plan de Adquisiciones'!F17" display="PONTÓN CONSTRUIDO CON RECURSOS DEL CONTRATO DE OBRA DE LOS ID (97,98,99)." xr:uid="{00000000-0004-0000-0000-000004000000}"/>
    <hyperlink ref="AI60" location="'Detalle Plan de Adquisiciones'!E8" display="PARADERO QUE SE CONSTRUIRÁ CON RECURSOS DEL CONTRATO LP 004-2011." xr:uid="{00000000-0004-0000-0000-000005000000}"/>
    <hyperlink ref="AI59" location="'Detalle Plan de Adquisiciones'!E10" display="PARADERO QUE SE CONSTRUIRA CON RECURSOS DEL CONTRATO LP 006-2011." xr:uid="{00000000-0004-0000-0000-000006000000}"/>
    <hyperlink ref="AI63" location="'Detalle Plan de Adquisiciones'!E17" display="PARADERO QUE SE CONSTRUIRÁ CON RECURSOS DEL CONTRATO ID 97-98-99" xr:uid="{00000000-0004-0000-0000-000007000000}"/>
    <hyperlink ref="AI64" location="'Detalle Plan de Adquisiciones'!E17" display="PARADERO QUE SE CONSTRUIRÁ CON RECURSOS DEL CONTRATO ID 97-98-99" xr:uid="{00000000-0004-0000-0000-000008000000}"/>
    <hyperlink ref="AI65" location="'Detalle Plan de Adquisiciones'!E17" display="PARADERO QUE SE CONSTRUIRÁ CON RECURSOS DEL CONTRATO ID 97-98-99" xr:uid="{00000000-0004-0000-0000-000009000000}"/>
  </hyperlinks>
  <printOptions horizontalCentered="1" verticalCentered="1"/>
  <pageMargins left="0.15748031496062992" right="0.15748031496062992" top="0.19685039370078741" bottom="0.19685039370078741" header="0.31496062992125984" footer="0.31496062992125984"/>
  <pageSetup scale="10" orientation="landscape" r:id="rId1"/>
  <headerFooter alignWithMargins="0">
    <oddHeader>&amp;F</oddHeader>
    <oddFooter>&amp;L&amp;"Arial,Bold"SEPA Confidential&amp;C&amp;D&amp;RPage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A515"/>
  <sheetViews>
    <sheetView tabSelected="1" zoomScale="73" zoomScaleNormal="73" zoomScaleSheetLayoutView="86" workbookViewId="0">
      <pane xSplit="6" ySplit="15" topLeftCell="CX16" activePane="bottomRight" state="frozen"/>
      <selection pane="topRight" activeCell="G1" sqref="G1"/>
      <selection pane="bottomLeft" activeCell="A16" sqref="A16"/>
      <selection pane="bottomRight" activeCell="G14" sqref="G14"/>
    </sheetView>
  </sheetViews>
  <sheetFormatPr baseColWidth="10" defaultRowHeight="12" outlineLevelRow="2" x14ac:dyDescent="0.2"/>
  <cols>
    <col min="1" max="1" width="17.42578125" style="51" customWidth="1"/>
    <col min="2" max="2" width="5.85546875" style="51" customWidth="1"/>
    <col min="3" max="3" width="2.7109375" style="51" customWidth="1"/>
    <col min="4" max="4" width="19.85546875" style="51" customWidth="1"/>
    <col min="5" max="5" width="30.28515625" style="51" customWidth="1"/>
    <col min="6" max="6" width="17.7109375" style="51" customWidth="1"/>
    <col min="7" max="7" width="18.140625" style="43" customWidth="1"/>
    <col min="8" max="8" width="20.140625" style="69" customWidth="1"/>
    <col min="9" max="12" width="15.7109375" style="69" customWidth="1"/>
    <col min="13" max="14" width="15.7109375" style="70" customWidth="1"/>
    <col min="15" max="15" width="15.7109375" style="51" customWidth="1"/>
    <col min="16" max="16" width="20.5703125" style="51" customWidth="1"/>
    <col min="17" max="18" width="15.7109375" style="71" customWidth="1"/>
    <col min="19" max="19" width="21.42578125" style="71" customWidth="1" collapsed="1"/>
    <col min="20" max="21" width="15.7109375" style="71" customWidth="1"/>
    <col min="22" max="22" width="18.5703125" style="71" customWidth="1"/>
    <col min="23" max="23" width="15.7109375" style="71" customWidth="1"/>
    <col min="24" max="24" width="18" style="71" customWidth="1"/>
    <col min="25" max="25" width="17.140625" style="71" customWidth="1"/>
    <col min="26" max="26" width="17.7109375" style="71" customWidth="1"/>
    <col min="27" max="27" width="17.5703125" style="71" customWidth="1"/>
    <col min="28" max="29" width="18.42578125" style="71" customWidth="1"/>
    <col min="30" max="30" width="19.5703125" style="71" customWidth="1"/>
    <col min="31" max="31" width="18.42578125" style="71" customWidth="1"/>
    <col min="32" max="32" width="18.28515625" style="71" customWidth="1"/>
    <col min="33" max="33" width="21.28515625" style="71" customWidth="1"/>
    <col min="34" max="34" width="24" style="71" customWidth="1"/>
    <col min="35" max="35" width="20.5703125" style="71" customWidth="1"/>
    <col min="36" max="37" width="19.85546875" style="71" customWidth="1"/>
    <col min="38" max="38" width="20" style="71" customWidth="1"/>
    <col min="39" max="39" width="20.42578125" style="71" customWidth="1"/>
    <col min="40" max="40" width="23.42578125" style="71" customWidth="1"/>
    <col min="41" max="41" width="23.5703125" style="71" customWidth="1"/>
    <col min="42" max="42" width="24.85546875" style="71" customWidth="1"/>
    <col min="43" max="43" width="18.7109375" style="104" customWidth="1"/>
    <col min="44" max="44" width="20" style="71" customWidth="1"/>
    <col min="45" max="45" width="17.5703125" style="71" customWidth="1"/>
    <col min="46" max="46" width="19.140625" style="71" customWidth="1"/>
    <col min="47" max="47" width="17.5703125" style="71" customWidth="1"/>
    <col min="48" max="48" width="15.7109375" style="71" customWidth="1"/>
    <col min="49" max="49" width="18.5703125" style="71" customWidth="1"/>
    <col min="50" max="50" width="20" style="71" customWidth="1"/>
    <col min="51" max="51" width="20.42578125" style="71" customWidth="1"/>
    <col min="52" max="52" width="19.5703125" style="71" customWidth="1"/>
    <col min="53" max="53" width="19" style="71" customWidth="1"/>
    <col min="54" max="54" width="19.85546875" style="71" customWidth="1"/>
    <col min="55" max="55" width="18.42578125" style="71" customWidth="1"/>
    <col min="56" max="56" width="19.7109375" style="71" customWidth="1"/>
    <col min="57" max="57" width="19.28515625" style="71" customWidth="1"/>
    <col min="58" max="58" width="18.28515625" style="71" customWidth="1"/>
    <col min="59" max="59" width="20" style="71" customWidth="1"/>
    <col min="60" max="60" width="17.28515625" style="71" customWidth="1"/>
    <col min="61" max="61" width="20" style="71" customWidth="1"/>
    <col min="62" max="62" width="21" style="71" customWidth="1"/>
    <col min="63" max="63" width="16.85546875" style="71" customWidth="1"/>
    <col min="64" max="64" width="21.28515625" style="71" customWidth="1"/>
    <col min="65" max="65" width="21.5703125" style="71" customWidth="1"/>
    <col min="66" max="66" width="21.85546875" style="71" customWidth="1"/>
    <col min="67" max="67" width="20.7109375" style="71" customWidth="1"/>
    <col min="68" max="68" width="21.42578125" style="71" customWidth="1"/>
    <col min="69" max="69" width="21.5703125" style="71" customWidth="1"/>
    <col min="70" max="70" width="23.28515625" style="71" customWidth="1"/>
    <col min="71" max="71" width="24.85546875" style="71" customWidth="1"/>
    <col min="72" max="72" width="19.42578125" style="71" customWidth="1"/>
    <col min="73" max="73" width="21.140625" style="71" customWidth="1"/>
    <col min="74" max="74" width="19" style="71" customWidth="1"/>
    <col min="75" max="75" width="16.28515625" style="71" customWidth="1"/>
    <col min="76" max="76" width="18.140625" style="71" customWidth="1"/>
    <col min="77" max="77" width="26.5703125" style="71" customWidth="1"/>
    <col min="78" max="78" width="14.7109375" style="71" customWidth="1"/>
    <col min="79" max="79" width="16" style="71" customWidth="1"/>
    <col min="80" max="80" width="15.7109375" style="71" customWidth="1"/>
    <col min="81" max="81" width="13" style="71" customWidth="1"/>
    <col min="82" max="82" width="13.5703125" style="71" customWidth="1"/>
    <col min="83" max="83" width="14.42578125" style="71" customWidth="1"/>
    <col min="84" max="84" width="13.85546875" style="71" customWidth="1"/>
    <col min="85" max="85" width="15.42578125" style="71" customWidth="1"/>
    <col min="86" max="86" width="18.7109375" style="71" customWidth="1"/>
    <col min="87" max="87" width="15.42578125" style="71" customWidth="1"/>
    <col min="88" max="88" width="14.85546875" style="71" customWidth="1"/>
    <col min="89" max="89" width="12.5703125" style="71" customWidth="1"/>
    <col min="90" max="90" width="12.85546875" style="71" customWidth="1"/>
    <col min="91" max="91" width="10.7109375" style="71" customWidth="1"/>
    <col min="92" max="92" width="13.140625" style="71" customWidth="1"/>
    <col min="93" max="93" width="14" style="71" customWidth="1"/>
    <col min="94" max="95" width="14.85546875" style="71" customWidth="1"/>
    <col min="96" max="96" width="17.140625" style="71" customWidth="1"/>
    <col min="97" max="97" width="17.28515625" style="71" customWidth="1"/>
    <col min="98" max="98" width="14.28515625" style="71" customWidth="1"/>
    <col min="99" max="99" width="15.42578125" style="71" customWidth="1"/>
    <col min="100" max="101" width="15.7109375" style="71" customWidth="1"/>
    <col min="102" max="102" width="17.28515625" style="71" customWidth="1"/>
    <col min="103" max="103" width="13.7109375" style="71" customWidth="1"/>
    <col min="104" max="104" width="16.140625" style="71" customWidth="1"/>
    <col min="105" max="105" width="14" style="71" customWidth="1"/>
    <col min="106" max="106" width="11.5703125" style="71" customWidth="1"/>
    <col min="107" max="107" width="15.7109375" style="71" customWidth="1"/>
    <col min="108" max="108" width="18.28515625" style="71" customWidth="1"/>
    <col min="109" max="109" width="12.85546875" style="71" customWidth="1"/>
    <col min="110" max="110" width="15.7109375" style="71" customWidth="1"/>
    <col min="111" max="111" width="12.7109375" style="71" customWidth="1"/>
    <col min="112" max="112" width="12" style="71" customWidth="1"/>
    <col min="113" max="113" width="14.5703125" style="71" customWidth="1"/>
    <col min="114" max="114" width="15.42578125" style="71" customWidth="1"/>
    <col min="115" max="118" width="15.7109375" style="71" customWidth="1"/>
    <col min="119" max="119" width="13" style="71" customWidth="1"/>
    <col min="120" max="123" width="15.7109375" style="71" customWidth="1"/>
    <col min="124" max="124" width="12.5703125" style="71" customWidth="1"/>
    <col min="125" max="125" width="15.7109375" style="71" customWidth="1"/>
    <col min="126" max="126" width="18.140625" style="71" customWidth="1"/>
    <col min="127" max="127" width="23.7109375" style="51" customWidth="1"/>
    <col min="128" max="128" width="23.42578125" style="51" hidden="1" customWidth="1"/>
    <col min="129" max="129" width="23.28515625" style="51" hidden="1" customWidth="1"/>
    <col min="130" max="130" width="18.7109375" style="52" hidden="1" customWidth="1"/>
    <col min="131" max="131" width="24.140625" style="240" hidden="1" customWidth="1"/>
    <col min="132" max="133" width="11.85546875" style="240" hidden="1" customWidth="1"/>
    <col min="134" max="137" width="11.85546875" style="51" hidden="1" customWidth="1"/>
    <col min="138" max="138" width="20.5703125" style="51" hidden="1" customWidth="1"/>
    <col min="139" max="140" width="11.42578125" style="51" hidden="1" customWidth="1"/>
    <col min="141" max="141" width="21" style="51" hidden="1" customWidth="1"/>
    <col min="142" max="142" width="16.5703125" style="51" hidden="1" customWidth="1"/>
    <col min="143" max="143" width="19.42578125" style="51" hidden="1" customWidth="1"/>
    <col min="144" max="144" width="25.5703125" style="51" hidden="1" customWidth="1"/>
    <col min="145" max="145" width="25.7109375" style="51" hidden="1" customWidth="1"/>
    <col min="146" max="146" width="11.42578125" style="51" hidden="1" customWidth="1"/>
    <col min="147" max="147" width="18.7109375" style="51" hidden="1" customWidth="1"/>
    <col min="148" max="148" width="13.85546875" style="502" hidden="1" customWidth="1"/>
    <col min="149" max="149" width="17.85546875" style="51" hidden="1" customWidth="1"/>
    <col min="150" max="169" width="11.42578125" style="51" hidden="1" customWidth="1"/>
    <col min="170" max="180" width="11.42578125" style="51" customWidth="1"/>
    <col min="181" max="181" width="18.85546875" style="51" customWidth="1"/>
    <col min="182" max="182" width="20.140625" style="51" customWidth="1"/>
    <col min="183" max="270" width="11.42578125" style="51" customWidth="1"/>
    <col min="271" max="293" width="11.42578125" style="51"/>
    <col min="294" max="294" width="11.42578125" style="51" customWidth="1"/>
    <col min="295" max="295" width="14.42578125" style="51" bestFit="1" customWidth="1"/>
    <col min="296" max="296" width="11.42578125" style="51" customWidth="1"/>
    <col min="297" max="297" width="34.140625" style="51" customWidth="1"/>
    <col min="298" max="298" width="56.28515625" style="51" customWidth="1"/>
    <col min="299" max="299" width="18.7109375" style="51" customWidth="1"/>
    <col min="300" max="323" width="11.42578125" style="51" customWidth="1"/>
    <col min="324" max="327" width="15.7109375" style="51" customWidth="1"/>
    <col min="328" max="328" width="20.5703125" style="51" customWidth="1"/>
    <col min="329" max="330" width="19.85546875" style="51" customWidth="1"/>
    <col min="331" max="331" width="20" style="51" customWidth="1"/>
    <col min="332" max="332" width="20.42578125" style="51" customWidth="1"/>
    <col min="333" max="333" width="15.7109375" style="51" customWidth="1"/>
    <col min="334" max="334" width="19.28515625" style="51" bestFit="1" customWidth="1"/>
    <col min="335" max="335" width="18.85546875" style="51" bestFit="1" customWidth="1"/>
    <col min="336" max="383" width="15.7109375" style="51" customWidth="1"/>
    <col min="384" max="384" width="29" style="51" customWidth="1"/>
    <col min="385" max="385" width="23.85546875" style="51" customWidth="1"/>
    <col min="386" max="386" width="19.140625" style="51" customWidth="1"/>
    <col min="387" max="387" width="23.7109375" style="51" customWidth="1"/>
    <col min="388" max="388" width="14.7109375" style="51" bestFit="1" customWidth="1"/>
    <col min="389" max="549" width="11.42578125" style="51"/>
    <col min="550" max="550" width="11.42578125" style="51" customWidth="1"/>
    <col min="551" max="551" width="14.42578125" style="51" bestFit="1" customWidth="1"/>
    <col min="552" max="552" width="11.42578125" style="51" customWidth="1"/>
    <col min="553" max="553" width="34.140625" style="51" customWidth="1"/>
    <col min="554" max="554" width="56.28515625" style="51" customWidth="1"/>
    <col min="555" max="555" width="18.7109375" style="51" customWidth="1"/>
    <col min="556" max="579" width="11.42578125" style="51" customWidth="1"/>
    <col min="580" max="583" width="15.7109375" style="51" customWidth="1"/>
    <col min="584" max="584" width="20.5703125" style="51" customWidth="1"/>
    <col min="585" max="586" width="19.85546875" style="51" customWidth="1"/>
    <col min="587" max="587" width="20" style="51" customWidth="1"/>
    <col min="588" max="588" width="20.42578125" style="51" customWidth="1"/>
    <col min="589" max="589" width="15.7109375" style="51" customWidth="1"/>
    <col min="590" max="590" width="19.28515625" style="51" bestFit="1" customWidth="1"/>
    <col min="591" max="591" width="18.85546875" style="51" bestFit="1" customWidth="1"/>
    <col min="592" max="639" width="15.7109375" style="51" customWidth="1"/>
    <col min="640" max="640" width="29" style="51" customWidth="1"/>
    <col min="641" max="641" width="23.85546875" style="51" customWidth="1"/>
    <col min="642" max="642" width="19.140625" style="51" customWidth="1"/>
    <col min="643" max="643" width="23.7109375" style="51" customWidth="1"/>
    <col min="644" max="644" width="14.7109375" style="51" bestFit="1" customWidth="1"/>
    <col min="645" max="805" width="11.42578125" style="51"/>
    <col min="806" max="806" width="11.42578125" style="51" customWidth="1"/>
    <col min="807" max="807" width="14.42578125" style="51" bestFit="1" customWidth="1"/>
    <col min="808" max="808" width="11.42578125" style="51" customWidth="1"/>
    <col min="809" max="809" width="34.140625" style="51" customWidth="1"/>
    <col min="810" max="810" width="56.28515625" style="51" customWidth="1"/>
    <col min="811" max="811" width="18.7109375" style="51" customWidth="1"/>
    <col min="812" max="835" width="11.42578125" style="51" customWidth="1"/>
    <col min="836" max="839" width="15.7109375" style="51" customWidth="1"/>
    <col min="840" max="840" width="20.5703125" style="51" customWidth="1"/>
    <col min="841" max="842" width="19.85546875" style="51" customWidth="1"/>
    <col min="843" max="843" width="20" style="51" customWidth="1"/>
    <col min="844" max="844" width="20.42578125" style="51" customWidth="1"/>
    <col min="845" max="845" width="15.7109375" style="51" customWidth="1"/>
    <col min="846" max="846" width="19.28515625" style="51" bestFit="1" customWidth="1"/>
    <col min="847" max="847" width="18.85546875" style="51" bestFit="1" customWidth="1"/>
    <col min="848" max="895" width="15.7109375" style="51" customWidth="1"/>
    <col min="896" max="896" width="29" style="51" customWidth="1"/>
    <col min="897" max="897" width="23.85546875" style="51" customWidth="1"/>
    <col min="898" max="898" width="19.140625" style="51" customWidth="1"/>
    <col min="899" max="899" width="23.7109375" style="51" customWidth="1"/>
    <col min="900" max="900" width="14.7109375" style="51" bestFit="1" customWidth="1"/>
    <col min="901" max="1061" width="11.42578125" style="51"/>
    <col min="1062" max="1062" width="11.42578125" style="51" customWidth="1"/>
    <col min="1063" max="1063" width="14.42578125" style="51" bestFit="1" customWidth="1"/>
    <col min="1064" max="1064" width="11.42578125" style="51" customWidth="1"/>
    <col min="1065" max="1065" width="34.140625" style="51" customWidth="1"/>
    <col min="1066" max="1066" width="56.28515625" style="51" customWidth="1"/>
    <col min="1067" max="1067" width="18.7109375" style="51" customWidth="1"/>
    <col min="1068" max="1091" width="11.42578125" style="51" customWidth="1"/>
    <col min="1092" max="1095" width="15.7109375" style="51" customWidth="1"/>
    <col min="1096" max="1096" width="20.5703125" style="51" customWidth="1"/>
    <col min="1097" max="1098" width="19.85546875" style="51" customWidth="1"/>
    <col min="1099" max="1099" width="20" style="51" customWidth="1"/>
    <col min="1100" max="1100" width="20.42578125" style="51" customWidth="1"/>
    <col min="1101" max="1101" width="15.7109375" style="51" customWidth="1"/>
    <col min="1102" max="1102" width="19.28515625" style="51" bestFit="1" customWidth="1"/>
    <col min="1103" max="1103" width="18.85546875" style="51" bestFit="1" customWidth="1"/>
    <col min="1104" max="1151" width="15.7109375" style="51" customWidth="1"/>
    <col min="1152" max="1152" width="29" style="51" customWidth="1"/>
    <col min="1153" max="1153" width="23.85546875" style="51" customWidth="1"/>
    <col min="1154" max="1154" width="19.140625" style="51" customWidth="1"/>
    <col min="1155" max="1155" width="23.7109375" style="51" customWidth="1"/>
    <col min="1156" max="1156" width="14.7109375" style="51" bestFit="1" customWidth="1"/>
    <col min="1157" max="1317" width="11.42578125" style="51"/>
    <col min="1318" max="1318" width="11.42578125" style="51" customWidth="1"/>
    <col min="1319" max="1319" width="14.42578125" style="51" bestFit="1" customWidth="1"/>
    <col min="1320" max="1320" width="11.42578125" style="51" customWidth="1"/>
    <col min="1321" max="1321" width="34.140625" style="51" customWidth="1"/>
    <col min="1322" max="1322" width="56.28515625" style="51" customWidth="1"/>
    <col min="1323" max="1323" width="18.7109375" style="51" customWidth="1"/>
    <col min="1324" max="1347" width="11.42578125" style="51" customWidth="1"/>
    <col min="1348" max="1351" width="15.7109375" style="51" customWidth="1"/>
    <col min="1352" max="1352" width="20.5703125" style="51" customWidth="1"/>
    <col min="1353" max="1354" width="19.85546875" style="51" customWidth="1"/>
    <col min="1355" max="1355" width="20" style="51" customWidth="1"/>
    <col min="1356" max="1356" width="20.42578125" style="51" customWidth="1"/>
    <col min="1357" max="1357" width="15.7109375" style="51" customWidth="1"/>
    <col min="1358" max="1358" width="19.28515625" style="51" bestFit="1" customWidth="1"/>
    <col min="1359" max="1359" width="18.85546875" style="51" bestFit="1" customWidth="1"/>
    <col min="1360" max="1407" width="15.7109375" style="51" customWidth="1"/>
    <col min="1408" max="1408" width="29" style="51" customWidth="1"/>
    <col min="1409" max="1409" width="23.85546875" style="51" customWidth="1"/>
    <col min="1410" max="1410" width="19.140625" style="51" customWidth="1"/>
    <col min="1411" max="1411" width="23.7109375" style="51" customWidth="1"/>
    <col min="1412" max="1412" width="14.7109375" style="51" bestFit="1" customWidth="1"/>
    <col min="1413" max="1573" width="11.42578125" style="51"/>
    <col min="1574" max="1574" width="11.42578125" style="51" customWidth="1"/>
    <col min="1575" max="1575" width="14.42578125" style="51" bestFit="1" customWidth="1"/>
    <col min="1576" max="1576" width="11.42578125" style="51" customWidth="1"/>
    <col min="1577" max="1577" width="34.140625" style="51" customWidth="1"/>
    <col min="1578" max="1578" width="56.28515625" style="51" customWidth="1"/>
    <col min="1579" max="1579" width="18.7109375" style="51" customWidth="1"/>
    <col min="1580" max="1603" width="11.42578125" style="51" customWidth="1"/>
    <col min="1604" max="1607" width="15.7109375" style="51" customWidth="1"/>
    <col min="1608" max="1608" width="20.5703125" style="51" customWidth="1"/>
    <col min="1609" max="1610" width="19.85546875" style="51" customWidth="1"/>
    <col min="1611" max="1611" width="20" style="51" customWidth="1"/>
    <col min="1612" max="1612" width="20.42578125" style="51" customWidth="1"/>
    <col min="1613" max="1613" width="15.7109375" style="51" customWidth="1"/>
    <col min="1614" max="1614" width="19.28515625" style="51" bestFit="1" customWidth="1"/>
    <col min="1615" max="1615" width="18.85546875" style="51" bestFit="1" customWidth="1"/>
    <col min="1616" max="1663" width="15.7109375" style="51" customWidth="1"/>
    <col min="1664" max="1664" width="29" style="51" customWidth="1"/>
    <col min="1665" max="1665" width="23.85546875" style="51" customWidth="1"/>
    <col min="1666" max="1666" width="19.140625" style="51" customWidth="1"/>
    <col min="1667" max="1667" width="23.7109375" style="51" customWidth="1"/>
    <col min="1668" max="1668" width="14.7109375" style="51" bestFit="1" customWidth="1"/>
    <col min="1669" max="1829" width="11.42578125" style="51"/>
    <col min="1830" max="1830" width="11.42578125" style="51" customWidth="1"/>
    <col min="1831" max="1831" width="14.42578125" style="51" bestFit="1" customWidth="1"/>
    <col min="1832" max="1832" width="11.42578125" style="51" customWidth="1"/>
    <col min="1833" max="1833" width="34.140625" style="51" customWidth="1"/>
    <col min="1834" max="1834" width="56.28515625" style="51" customWidth="1"/>
    <col min="1835" max="1835" width="18.7109375" style="51" customWidth="1"/>
    <col min="1836" max="1859" width="11.42578125" style="51" customWidth="1"/>
    <col min="1860" max="1863" width="15.7109375" style="51" customWidth="1"/>
    <col min="1864" max="1864" width="20.5703125" style="51" customWidth="1"/>
    <col min="1865" max="1866" width="19.85546875" style="51" customWidth="1"/>
    <col min="1867" max="1867" width="20" style="51" customWidth="1"/>
    <col min="1868" max="1868" width="20.42578125" style="51" customWidth="1"/>
    <col min="1869" max="1869" width="15.7109375" style="51" customWidth="1"/>
    <col min="1870" max="1870" width="19.28515625" style="51" bestFit="1" customWidth="1"/>
    <col min="1871" max="1871" width="18.85546875" style="51" bestFit="1" customWidth="1"/>
    <col min="1872" max="1919" width="15.7109375" style="51" customWidth="1"/>
    <col min="1920" max="1920" width="29" style="51" customWidth="1"/>
    <col min="1921" max="1921" width="23.85546875" style="51" customWidth="1"/>
    <col min="1922" max="1922" width="19.140625" style="51" customWidth="1"/>
    <col min="1923" max="1923" width="23.7109375" style="51" customWidth="1"/>
    <col min="1924" max="1924" width="14.7109375" style="51" bestFit="1" customWidth="1"/>
    <col min="1925" max="2085" width="11.42578125" style="51"/>
    <col min="2086" max="2086" width="11.42578125" style="51" customWidth="1"/>
    <col min="2087" max="2087" width="14.42578125" style="51" bestFit="1" customWidth="1"/>
    <col min="2088" max="2088" width="11.42578125" style="51" customWidth="1"/>
    <col min="2089" max="2089" width="34.140625" style="51" customWidth="1"/>
    <col min="2090" max="2090" width="56.28515625" style="51" customWidth="1"/>
    <col min="2091" max="2091" width="18.7109375" style="51" customWidth="1"/>
    <col min="2092" max="2115" width="11.42578125" style="51" customWidth="1"/>
    <col min="2116" max="2119" width="15.7109375" style="51" customWidth="1"/>
    <col min="2120" max="2120" width="20.5703125" style="51" customWidth="1"/>
    <col min="2121" max="2122" width="19.85546875" style="51" customWidth="1"/>
    <col min="2123" max="2123" width="20" style="51" customWidth="1"/>
    <col min="2124" max="2124" width="20.42578125" style="51" customWidth="1"/>
    <col min="2125" max="2125" width="15.7109375" style="51" customWidth="1"/>
    <col min="2126" max="2126" width="19.28515625" style="51" bestFit="1" customWidth="1"/>
    <col min="2127" max="2127" width="18.85546875" style="51" bestFit="1" customWidth="1"/>
    <col min="2128" max="2175" width="15.7109375" style="51" customWidth="1"/>
    <col min="2176" max="2176" width="29" style="51" customWidth="1"/>
    <col min="2177" max="2177" width="23.85546875" style="51" customWidth="1"/>
    <col min="2178" max="2178" width="19.140625" style="51" customWidth="1"/>
    <col min="2179" max="2179" width="23.7109375" style="51" customWidth="1"/>
    <col min="2180" max="2180" width="14.7109375" style="51" bestFit="1" customWidth="1"/>
    <col min="2181" max="2341" width="11.42578125" style="51"/>
    <col min="2342" max="2342" width="11.42578125" style="51" customWidth="1"/>
    <col min="2343" max="2343" width="14.42578125" style="51" bestFit="1" customWidth="1"/>
    <col min="2344" max="2344" width="11.42578125" style="51" customWidth="1"/>
    <col min="2345" max="2345" width="34.140625" style="51" customWidth="1"/>
    <col min="2346" max="2346" width="56.28515625" style="51" customWidth="1"/>
    <col min="2347" max="2347" width="18.7109375" style="51" customWidth="1"/>
    <col min="2348" max="2371" width="11.42578125" style="51" customWidth="1"/>
    <col min="2372" max="2375" width="15.7109375" style="51" customWidth="1"/>
    <col min="2376" max="2376" width="20.5703125" style="51" customWidth="1"/>
    <col min="2377" max="2378" width="19.85546875" style="51" customWidth="1"/>
    <col min="2379" max="2379" width="20" style="51" customWidth="1"/>
    <col min="2380" max="2380" width="20.42578125" style="51" customWidth="1"/>
    <col min="2381" max="2381" width="15.7109375" style="51" customWidth="1"/>
    <col min="2382" max="2382" width="19.28515625" style="51" bestFit="1" customWidth="1"/>
    <col min="2383" max="2383" width="18.85546875" style="51" bestFit="1" customWidth="1"/>
    <col min="2384" max="2431" width="15.7109375" style="51" customWidth="1"/>
    <col min="2432" max="2432" width="29" style="51" customWidth="1"/>
    <col min="2433" max="2433" width="23.85546875" style="51" customWidth="1"/>
    <col min="2434" max="2434" width="19.140625" style="51" customWidth="1"/>
    <col min="2435" max="2435" width="23.7109375" style="51" customWidth="1"/>
    <col min="2436" max="2436" width="14.7109375" style="51" bestFit="1" customWidth="1"/>
    <col min="2437" max="2597" width="11.42578125" style="51"/>
    <col min="2598" max="2598" width="11.42578125" style="51" customWidth="1"/>
    <col min="2599" max="2599" width="14.42578125" style="51" bestFit="1" customWidth="1"/>
    <col min="2600" max="2600" width="11.42578125" style="51" customWidth="1"/>
    <col min="2601" max="2601" width="34.140625" style="51" customWidth="1"/>
    <col min="2602" max="2602" width="56.28515625" style="51" customWidth="1"/>
    <col min="2603" max="2603" width="18.7109375" style="51" customWidth="1"/>
    <col min="2604" max="2627" width="11.42578125" style="51" customWidth="1"/>
    <col min="2628" max="2631" width="15.7109375" style="51" customWidth="1"/>
    <col min="2632" max="2632" width="20.5703125" style="51" customWidth="1"/>
    <col min="2633" max="2634" width="19.85546875" style="51" customWidth="1"/>
    <col min="2635" max="2635" width="20" style="51" customWidth="1"/>
    <col min="2636" max="2636" width="20.42578125" style="51" customWidth="1"/>
    <col min="2637" max="2637" width="15.7109375" style="51" customWidth="1"/>
    <col min="2638" max="2638" width="19.28515625" style="51" bestFit="1" customWidth="1"/>
    <col min="2639" max="2639" width="18.85546875" style="51" bestFit="1" customWidth="1"/>
    <col min="2640" max="2687" width="15.7109375" style="51" customWidth="1"/>
    <col min="2688" max="2688" width="29" style="51" customWidth="1"/>
    <col min="2689" max="2689" width="23.85546875" style="51" customWidth="1"/>
    <col min="2690" max="2690" width="19.140625" style="51" customWidth="1"/>
    <col min="2691" max="2691" width="23.7109375" style="51" customWidth="1"/>
    <col min="2692" max="2692" width="14.7109375" style="51" bestFit="1" customWidth="1"/>
    <col min="2693" max="2853" width="11.42578125" style="51"/>
    <col min="2854" max="2854" width="11.42578125" style="51" customWidth="1"/>
    <col min="2855" max="2855" width="14.42578125" style="51" bestFit="1" customWidth="1"/>
    <col min="2856" max="2856" width="11.42578125" style="51" customWidth="1"/>
    <col min="2857" max="2857" width="34.140625" style="51" customWidth="1"/>
    <col min="2858" max="2858" width="56.28515625" style="51" customWidth="1"/>
    <col min="2859" max="2859" width="18.7109375" style="51" customWidth="1"/>
    <col min="2860" max="2883" width="11.42578125" style="51" customWidth="1"/>
    <col min="2884" max="2887" width="15.7109375" style="51" customWidth="1"/>
    <col min="2888" max="2888" width="20.5703125" style="51" customWidth="1"/>
    <col min="2889" max="2890" width="19.85546875" style="51" customWidth="1"/>
    <col min="2891" max="2891" width="20" style="51" customWidth="1"/>
    <col min="2892" max="2892" width="20.42578125" style="51" customWidth="1"/>
    <col min="2893" max="2893" width="15.7109375" style="51" customWidth="1"/>
    <col min="2894" max="2894" width="19.28515625" style="51" bestFit="1" customWidth="1"/>
    <col min="2895" max="2895" width="18.85546875" style="51" bestFit="1" customWidth="1"/>
    <col min="2896" max="2943" width="15.7109375" style="51" customWidth="1"/>
    <col min="2944" max="2944" width="29" style="51" customWidth="1"/>
    <col min="2945" max="2945" width="23.85546875" style="51" customWidth="1"/>
    <col min="2946" max="2946" width="19.140625" style="51" customWidth="1"/>
    <col min="2947" max="2947" width="23.7109375" style="51" customWidth="1"/>
    <col min="2948" max="2948" width="14.7109375" style="51" bestFit="1" customWidth="1"/>
    <col min="2949" max="3109" width="11.42578125" style="51"/>
    <col min="3110" max="3110" width="11.42578125" style="51" customWidth="1"/>
    <col min="3111" max="3111" width="14.42578125" style="51" bestFit="1" customWidth="1"/>
    <col min="3112" max="3112" width="11.42578125" style="51" customWidth="1"/>
    <col min="3113" max="3113" width="34.140625" style="51" customWidth="1"/>
    <col min="3114" max="3114" width="56.28515625" style="51" customWidth="1"/>
    <col min="3115" max="3115" width="18.7109375" style="51" customWidth="1"/>
    <col min="3116" max="3139" width="11.42578125" style="51" customWidth="1"/>
    <col min="3140" max="3143" width="15.7109375" style="51" customWidth="1"/>
    <col min="3144" max="3144" width="20.5703125" style="51" customWidth="1"/>
    <col min="3145" max="3146" width="19.85546875" style="51" customWidth="1"/>
    <col min="3147" max="3147" width="20" style="51" customWidth="1"/>
    <col min="3148" max="3148" width="20.42578125" style="51" customWidth="1"/>
    <col min="3149" max="3149" width="15.7109375" style="51" customWidth="1"/>
    <col min="3150" max="3150" width="19.28515625" style="51" bestFit="1" customWidth="1"/>
    <col min="3151" max="3151" width="18.85546875" style="51" bestFit="1" customWidth="1"/>
    <col min="3152" max="3199" width="15.7109375" style="51" customWidth="1"/>
    <col min="3200" max="3200" width="29" style="51" customWidth="1"/>
    <col min="3201" max="3201" width="23.85546875" style="51" customWidth="1"/>
    <col min="3202" max="3202" width="19.140625" style="51" customWidth="1"/>
    <col min="3203" max="3203" width="23.7109375" style="51" customWidth="1"/>
    <col min="3204" max="3204" width="14.7109375" style="51" bestFit="1" customWidth="1"/>
    <col min="3205" max="3365" width="11.42578125" style="51"/>
    <col min="3366" max="3366" width="11.42578125" style="51" customWidth="1"/>
    <col min="3367" max="3367" width="14.42578125" style="51" bestFit="1" customWidth="1"/>
    <col min="3368" max="3368" width="11.42578125" style="51" customWidth="1"/>
    <col min="3369" max="3369" width="34.140625" style="51" customWidth="1"/>
    <col min="3370" max="3370" width="56.28515625" style="51" customWidth="1"/>
    <col min="3371" max="3371" width="18.7109375" style="51" customWidth="1"/>
    <col min="3372" max="3395" width="11.42578125" style="51" customWidth="1"/>
    <col min="3396" max="3399" width="15.7109375" style="51" customWidth="1"/>
    <col min="3400" max="3400" width="20.5703125" style="51" customWidth="1"/>
    <col min="3401" max="3402" width="19.85546875" style="51" customWidth="1"/>
    <col min="3403" max="3403" width="20" style="51" customWidth="1"/>
    <col min="3404" max="3404" width="20.42578125" style="51" customWidth="1"/>
    <col min="3405" max="3405" width="15.7109375" style="51" customWidth="1"/>
    <col min="3406" max="3406" width="19.28515625" style="51" bestFit="1" customWidth="1"/>
    <col min="3407" max="3407" width="18.85546875" style="51" bestFit="1" customWidth="1"/>
    <col min="3408" max="3455" width="15.7109375" style="51" customWidth="1"/>
    <col min="3456" max="3456" width="29" style="51" customWidth="1"/>
    <col min="3457" max="3457" width="23.85546875" style="51" customWidth="1"/>
    <col min="3458" max="3458" width="19.140625" style="51" customWidth="1"/>
    <col min="3459" max="3459" width="23.7109375" style="51" customWidth="1"/>
    <col min="3460" max="3460" width="14.7109375" style="51" bestFit="1" customWidth="1"/>
    <col min="3461" max="3621" width="11.42578125" style="51"/>
    <col min="3622" max="3622" width="11.42578125" style="51" customWidth="1"/>
    <col min="3623" max="3623" width="14.42578125" style="51" bestFit="1" customWidth="1"/>
    <col min="3624" max="3624" width="11.42578125" style="51" customWidth="1"/>
    <col min="3625" max="3625" width="34.140625" style="51" customWidth="1"/>
    <col min="3626" max="3626" width="56.28515625" style="51" customWidth="1"/>
    <col min="3627" max="3627" width="18.7109375" style="51" customWidth="1"/>
    <col min="3628" max="3651" width="11.42578125" style="51" customWidth="1"/>
    <col min="3652" max="3655" width="15.7109375" style="51" customWidth="1"/>
    <col min="3656" max="3656" width="20.5703125" style="51" customWidth="1"/>
    <col min="3657" max="3658" width="19.85546875" style="51" customWidth="1"/>
    <col min="3659" max="3659" width="20" style="51" customWidth="1"/>
    <col min="3660" max="3660" width="20.42578125" style="51" customWidth="1"/>
    <col min="3661" max="3661" width="15.7109375" style="51" customWidth="1"/>
    <col min="3662" max="3662" width="19.28515625" style="51" bestFit="1" customWidth="1"/>
    <col min="3663" max="3663" width="18.85546875" style="51" bestFit="1" customWidth="1"/>
    <col min="3664" max="3711" width="15.7109375" style="51" customWidth="1"/>
    <col min="3712" max="3712" width="29" style="51" customWidth="1"/>
    <col min="3713" max="3713" width="23.85546875" style="51" customWidth="1"/>
    <col min="3714" max="3714" width="19.140625" style="51" customWidth="1"/>
    <col min="3715" max="3715" width="23.7109375" style="51" customWidth="1"/>
    <col min="3716" max="3716" width="14.7109375" style="51" bestFit="1" customWidth="1"/>
    <col min="3717" max="3877" width="11.42578125" style="51"/>
    <col min="3878" max="3878" width="11.42578125" style="51" customWidth="1"/>
    <col min="3879" max="3879" width="14.42578125" style="51" bestFit="1" customWidth="1"/>
    <col min="3880" max="3880" width="11.42578125" style="51" customWidth="1"/>
    <col min="3881" max="3881" width="34.140625" style="51" customWidth="1"/>
    <col min="3882" max="3882" width="56.28515625" style="51" customWidth="1"/>
    <col min="3883" max="3883" width="18.7109375" style="51" customWidth="1"/>
    <col min="3884" max="3907" width="11.42578125" style="51" customWidth="1"/>
    <col min="3908" max="3911" width="15.7109375" style="51" customWidth="1"/>
    <col min="3912" max="3912" width="20.5703125" style="51" customWidth="1"/>
    <col min="3913" max="3914" width="19.85546875" style="51" customWidth="1"/>
    <col min="3915" max="3915" width="20" style="51" customWidth="1"/>
    <col min="3916" max="3916" width="20.42578125" style="51" customWidth="1"/>
    <col min="3917" max="3917" width="15.7109375" style="51" customWidth="1"/>
    <col min="3918" max="3918" width="19.28515625" style="51" bestFit="1" customWidth="1"/>
    <col min="3919" max="3919" width="18.85546875" style="51" bestFit="1" customWidth="1"/>
    <col min="3920" max="3967" width="15.7109375" style="51" customWidth="1"/>
    <col min="3968" max="3968" width="29" style="51" customWidth="1"/>
    <col min="3969" max="3969" width="23.85546875" style="51" customWidth="1"/>
    <col min="3970" max="3970" width="19.140625" style="51" customWidth="1"/>
    <col min="3971" max="3971" width="23.7109375" style="51" customWidth="1"/>
    <col min="3972" max="3972" width="14.7109375" style="51" bestFit="1" customWidth="1"/>
    <col min="3973" max="4133" width="11.42578125" style="51"/>
    <col min="4134" max="4134" width="11.42578125" style="51" customWidth="1"/>
    <col min="4135" max="4135" width="14.42578125" style="51" bestFit="1" customWidth="1"/>
    <col min="4136" max="4136" width="11.42578125" style="51" customWidth="1"/>
    <col min="4137" max="4137" width="34.140625" style="51" customWidth="1"/>
    <col min="4138" max="4138" width="56.28515625" style="51" customWidth="1"/>
    <col min="4139" max="4139" width="18.7109375" style="51" customWidth="1"/>
    <col min="4140" max="4163" width="11.42578125" style="51" customWidth="1"/>
    <col min="4164" max="4167" width="15.7109375" style="51" customWidth="1"/>
    <col min="4168" max="4168" width="20.5703125" style="51" customWidth="1"/>
    <col min="4169" max="4170" width="19.85546875" style="51" customWidth="1"/>
    <col min="4171" max="4171" width="20" style="51" customWidth="1"/>
    <col min="4172" max="4172" width="20.42578125" style="51" customWidth="1"/>
    <col min="4173" max="4173" width="15.7109375" style="51" customWidth="1"/>
    <col min="4174" max="4174" width="19.28515625" style="51" bestFit="1" customWidth="1"/>
    <col min="4175" max="4175" width="18.85546875" style="51" bestFit="1" customWidth="1"/>
    <col min="4176" max="4223" width="15.7109375" style="51" customWidth="1"/>
    <col min="4224" max="4224" width="29" style="51" customWidth="1"/>
    <col min="4225" max="4225" width="23.85546875" style="51" customWidth="1"/>
    <col min="4226" max="4226" width="19.140625" style="51" customWidth="1"/>
    <col min="4227" max="4227" width="23.7109375" style="51" customWidth="1"/>
    <col min="4228" max="4228" width="14.7109375" style="51" bestFit="1" customWidth="1"/>
    <col min="4229" max="4389" width="11.42578125" style="51"/>
    <col min="4390" max="4390" width="11.42578125" style="51" customWidth="1"/>
    <col min="4391" max="4391" width="14.42578125" style="51" bestFit="1" customWidth="1"/>
    <col min="4392" max="4392" width="11.42578125" style="51" customWidth="1"/>
    <col min="4393" max="4393" width="34.140625" style="51" customWidth="1"/>
    <col min="4394" max="4394" width="56.28515625" style="51" customWidth="1"/>
    <col min="4395" max="4395" width="18.7109375" style="51" customWidth="1"/>
    <col min="4396" max="4419" width="11.42578125" style="51" customWidth="1"/>
    <col min="4420" max="4423" width="15.7109375" style="51" customWidth="1"/>
    <col min="4424" max="4424" width="20.5703125" style="51" customWidth="1"/>
    <col min="4425" max="4426" width="19.85546875" style="51" customWidth="1"/>
    <col min="4427" max="4427" width="20" style="51" customWidth="1"/>
    <col min="4428" max="4428" width="20.42578125" style="51" customWidth="1"/>
    <col min="4429" max="4429" width="15.7109375" style="51" customWidth="1"/>
    <col min="4430" max="4430" width="19.28515625" style="51" bestFit="1" customWidth="1"/>
    <col min="4431" max="4431" width="18.85546875" style="51" bestFit="1" customWidth="1"/>
    <col min="4432" max="4479" width="15.7109375" style="51" customWidth="1"/>
    <col min="4480" max="4480" width="29" style="51" customWidth="1"/>
    <col min="4481" max="4481" width="23.85546875" style="51" customWidth="1"/>
    <col min="4482" max="4482" width="19.140625" style="51" customWidth="1"/>
    <col min="4483" max="4483" width="23.7109375" style="51" customWidth="1"/>
    <col min="4484" max="4484" width="14.7109375" style="51" bestFit="1" customWidth="1"/>
    <col min="4485" max="4645" width="11.42578125" style="51"/>
    <col min="4646" max="4646" width="11.42578125" style="51" customWidth="1"/>
    <col min="4647" max="4647" width="14.42578125" style="51" bestFit="1" customWidth="1"/>
    <col min="4648" max="4648" width="11.42578125" style="51" customWidth="1"/>
    <col min="4649" max="4649" width="34.140625" style="51" customWidth="1"/>
    <col min="4650" max="4650" width="56.28515625" style="51" customWidth="1"/>
    <col min="4651" max="4651" width="18.7109375" style="51" customWidth="1"/>
    <col min="4652" max="4675" width="11.42578125" style="51" customWidth="1"/>
    <col min="4676" max="4679" width="15.7109375" style="51" customWidth="1"/>
    <col min="4680" max="4680" width="20.5703125" style="51" customWidth="1"/>
    <col min="4681" max="4682" width="19.85546875" style="51" customWidth="1"/>
    <col min="4683" max="4683" width="20" style="51" customWidth="1"/>
    <col min="4684" max="4684" width="20.42578125" style="51" customWidth="1"/>
    <col min="4685" max="4685" width="15.7109375" style="51" customWidth="1"/>
    <col min="4686" max="4686" width="19.28515625" style="51" bestFit="1" customWidth="1"/>
    <col min="4687" max="4687" width="18.85546875" style="51" bestFit="1" customWidth="1"/>
    <col min="4688" max="4735" width="15.7109375" style="51" customWidth="1"/>
    <col min="4736" max="4736" width="29" style="51" customWidth="1"/>
    <col min="4737" max="4737" width="23.85546875" style="51" customWidth="1"/>
    <col min="4738" max="4738" width="19.140625" style="51" customWidth="1"/>
    <col min="4739" max="4739" width="23.7109375" style="51" customWidth="1"/>
    <col min="4740" max="4740" width="14.7109375" style="51" bestFit="1" customWidth="1"/>
    <col min="4741" max="4901" width="11.42578125" style="51"/>
    <col min="4902" max="4902" width="11.42578125" style="51" customWidth="1"/>
    <col min="4903" max="4903" width="14.42578125" style="51" bestFit="1" customWidth="1"/>
    <col min="4904" max="4904" width="11.42578125" style="51" customWidth="1"/>
    <col min="4905" max="4905" width="34.140625" style="51" customWidth="1"/>
    <col min="4906" max="4906" width="56.28515625" style="51" customWidth="1"/>
    <col min="4907" max="4907" width="18.7109375" style="51" customWidth="1"/>
    <col min="4908" max="4931" width="11.42578125" style="51" customWidth="1"/>
    <col min="4932" max="4935" width="15.7109375" style="51" customWidth="1"/>
    <col min="4936" max="4936" width="20.5703125" style="51" customWidth="1"/>
    <col min="4937" max="4938" width="19.85546875" style="51" customWidth="1"/>
    <col min="4939" max="4939" width="20" style="51" customWidth="1"/>
    <col min="4940" max="4940" width="20.42578125" style="51" customWidth="1"/>
    <col min="4941" max="4941" width="15.7109375" style="51" customWidth="1"/>
    <col min="4942" max="4942" width="19.28515625" style="51" bestFit="1" customWidth="1"/>
    <col min="4943" max="4943" width="18.85546875" style="51" bestFit="1" customWidth="1"/>
    <col min="4944" max="4991" width="15.7109375" style="51" customWidth="1"/>
    <col min="4992" max="4992" width="29" style="51" customWidth="1"/>
    <col min="4993" max="4993" width="23.85546875" style="51" customWidth="1"/>
    <col min="4994" max="4994" width="19.140625" style="51" customWidth="1"/>
    <col min="4995" max="4995" width="23.7109375" style="51" customWidth="1"/>
    <col min="4996" max="4996" width="14.7109375" style="51" bestFit="1" customWidth="1"/>
    <col min="4997" max="5157" width="11.42578125" style="51"/>
    <col min="5158" max="5158" width="11.42578125" style="51" customWidth="1"/>
    <col min="5159" max="5159" width="14.42578125" style="51" bestFit="1" customWidth="1"/>
    <col min="5160" max="5160" width="11.42578125" style="51" customWidth="1"/>
    <col min="5161" max="5161" width="34.140625" style="51" customWidth="1"/>
    <col min="5162" max="5162" width="56.28515625" style="51" customWidth="1"/>
    <col min="5163" max="5163" width="18.7109375" style="51" customWidth="1"/>
    <col min="5164" max="5187" width="11.42578125" style="51" customWidth="1"/>
    <col min="5188" max="5191" width="15.7109375" style="51" customWidth="1"/>
    <col min="5192" max="5192" width="20.5703125" style="51" customWidth="1"/>
    <col min="5193" max="5194" width="19.85546875" style="51" customWidth="1"/>
    <col min="5195" max="5195" width="20" style="51" customWidth="1"/>
    <col min="5196" max="5196" width="20.42578125" style="51" customWidth="1"/>
    <col min="5197" max="5197" width="15.7109375" style="51" customWidth="1"/>
    <col min="5198" max="5198" width="19.28515625" style="51" bestFit="1" customWidth="1"/>
    <col min="5199" max="5199" width="18.85546875" style="51" bestFit="1" customWidth="1"/>
    <col min="5200" max="5247" width="15.7109375" style="51" customWidth="1"/>
    <col min="5248" max="5248" width="29" style="51" customWidth="1"/>
    <col min="5249" max="5249" width="23.85546875" style="51" customWidth="1"/>
    <col min="5250" max="5250" width="19.140625" style="51" customWidth="1"/>
    <col min="5251" max="5251" width="23.7109375" style="51" customWidth="1"/>
    <col min="5252" max="5252" width="14.7109375" style="51" bestFit="1" customWidth="1"/>
    <col min="5253" max="5413" width="11.42578125" style="51"/>
    <col min="5414" max="5414" width="11.42578125" style="51" customWidth="1"/>
    <col min="5415" max="5415" width="14.42578125" style="51" bestFit="1" customWidth="1"/>
    <col min="5416" max="5416" width="11.42578125" style="51" customWidth="1"/>
    <col min="5417" max="5417" width="34.140625" style="51" customWidth="1"/>
    <col min="5418" max="5418" width="56.28515625" style="51" customWidth="1"/>
    <col min="5419" max="5419" width="18.7109375" style="51" customWidth="1"/>
    <col min="5420" max="5443" width="11.42578125" style="51" customWidth="1"/>
    <col min="5444" max="5447" width="15.7109375" style="51" customWidth="1"/>
    <col min="5448" max="5448" width="20.5703125" style="51" customWidth="1"/>
    <col min="5449" max="5450" width="19.85546875" style="51" customWidth="1"/>
    <col min="5451" max="5451" width="20" style="51" customWidth="1"/>
    <col min="5452" max="5452" width="20.42578125" style="51" customWidth="1"/>
    <col min="5453" max="5453" width="15.7109375" style="51" customWidth="1"/>
    <col min="5454" max="5454" width="19.28515625" style="51" bestFit="1" customWidth="1"/>
    <col min="5455" max="5455" width="18.85546875" style="51" bestFit="1" customWidth="1"/>
    <col min="5456" max="5503" width="15.7109375" style="51" customWidth="1"/>
    <col min="5504" max="5504" width="29" style="51" customWidth="1"/>
    <col min="5505" max="5505" width="23.85546875" style="51" customWidth="1"/>
    <col min="5506" max="5506" width="19.140625" style="51" customWidth="1"/>
    <col min="5507" max="5507" width="23.7109375" style="51" customWidth="1"/>
    <col min="5508" max="5508" width="14.7109375" style="51" bestFit="1" customWidth="1"/>
    <col min="5509" max="5669" width="11.42578125" style="51"/>
    <col min="5670" max="5670" width="11.42578125" style="51" customWidth="1"/>
    <col min="5671" max="5671" width="14.42578125" style="51" bestFit="1" customWidth="1"/>
    <col min="5672" max="5672" width="11.42578125" style="51" customWidth="1"/>
    <col min="5673" max="5673" width="34.140625" style="51" customWidth="1"/>
    <col min="5674" max="5674" width="56.28515625" style="51" customWidth="1"/>
    <col min="5675" max="5675" width="18.7109375" style="51" customWidth="1"/>
    <col min="5676" max="5699" width="11.42578125" style="51" customWidth="1"/>
    <col min="5700" max="5703" width="15.7109375" style="51" customWidth="1"/>
    <col min="5704" max="5704" width="20.5703125" style="51" customWidth="1"/>
    <col min="5705" max="5706" width="19.85546875" style="51" customWidth="1"/>
    <col min="5707" max="5707" width="20" style="51" customWidth="1"/>
    <col min="5708" max="5708" width="20.42578125" style="51" customWidth="1"/>
    <col min="5709" max="5709" width="15.7109375" style="51" customWidth="1"/>
    <col min="5710" max="5710" width="19.28515625" style="51" bestFit="1" customWidth="1"/>
    <col min="5711" max="5711" width="18.85546875" style="51" bestFit="1" customWidth="1"/>
    <col min="5712" max="5759" width="15.7109375" style="51" customWidth="1"/>
    <col min="5760" max="5760" width="29" style="51" customWidth="1"/>
    <col min="5761" max="5761" width="23.85546875" style="51" customWidth="1"/>
    <col min="5762" max="5762" width="19.140625" style="51" customWidth="1"/>
    <col min="5763" max="5763" width="23.7109375" style="51" customWidth="1"/>
    <col min="5764" max="5764" width="14.7109375" style="51" bestFit="1" customWidth="1"/>
    <col min="5765" max="5925" width="11.42578125" style="51"/>
    <col min="5926" max="5926" width="11.42578125" style="51" customWidth="1"/>
    <col min="5927" max="5927" width="14.42578125" style="51" bestFit="1" customWidth="1"/>
    <col min="5928" max="5928" width="11.42578125" style="51" customWidth="1"/>
    <col min="5929" max="5929" width="34.140625" style="51" customWidth="1"/>
    <col min="5930" max="5930" width="56.28515625" style="51" customWidth="1"/>
    <col min="5931" max="5931" width="18.7109375" style="51" customWidth="1"/>
    <col min="5932" max="5955" width="11.42578125" style="51" customWidth="1"/>
    <col min="5956" max="5959" width="15.7109375" style="51" customWidth="1"/>
    <col min="5960" max="5960" width="20.5703125" style="51" customWidth="1"/>
    <col min="5961" max="5962" width="19.85546875" style="51" customWidth="1"/>
    <col min="5963" max="5963" width="20" style="51" customWidth="1"/>
    <col min="5964" max="5964" width="20.42578125" style="51" customWidth="1"/>
    <col min="5965" max="5965" width="15.7109375" style="51" customWidth="1"/>
    <col min="5966" max="5966" width="19.28515625" style="51" bestFit="1" customWidth="1"/>
    <col min="5967" max="5967" width="18.85546875" style="51" bestFit="1" customWidth="1"/>
    <col min="5968" max="6015" width="15.7109375" style="51" customWidth="1"/>
    <col min="6016" max="6016" width="29" style="51" customWidth="1"/>
    <col min="6017" max="6017" width="23.85546875" style="51" customWidth="1"/>
    <col min="6018" max="6018" width="19.140625" style="51" customWidth="1"/>
    <col min="6019" max="6019" width="23.7109375" style="51" customWidth="1"/>
    <col min="6020" max="6020" width="14.7109375" style="51" bestFit="1" customWidth="1"/>
    <col min="6021" max="6181" width="11.42578125" style="51"/>
    <col min="6182" max="6182" width="11.42578125" style="51" customWidth="1"/>
    <col min="6183" max="6183" width="14.42578125" style="51" bestFit="1" customWidth="1"/>
    <col min="6184" max="6184" width="11.42578125" style="51" customWidth="1"/>
    <col min="6185" max="6185" width="34.140625" style="51" customWidth="1"/>
    <col min="6186" max="6186" width="56.28515625" style="51" customWidth="1"/>
    <col min="6187" max="6187" width="18.7109375" style="51" customWidth="1"/>
    <col min="6188" max="6211" width="11.42578125" style="51" customWidth="1"/>
    <col min="6212" max="6215" width="15.7109375" style="51" customWidth="1"/>
    <col min="6216" max="6216" width="20.5703125" style="51" customWidth="1"/>
    <col min="6217" max="6218" width="19.85546875" style="51" customWidth="1"/>
    <col min="6219" max="6219" width="20" style="51" customWidth="1"/>
    <col min="6220" max="6220" width="20.42578125" style="51" customWidth="1"/>
    <col min="6221" max="6221" width="15.7109375" style="51" customWidth="1"/>
    <col min="6222" max="6222" width="19.28515625" style="51" bestFit="1" customWidth="1"/>
    <col min="6223" max="6223" width="18.85546875" style="51" bestFit="1" customWidth="1"/>
    <col min="6224" max="6271" width="15.7109375" style="51" customWidth="1"/>
    <col min="6272" max="6272" width="29" style="51" customWidth="1"/>
    <col min="6273" max="6273" width="23.85546875" style="51" customWidth="1"/>
    <col min="6274" max="6274" width="19.140625" style="51" customWidth="1"/>
    <col min="6275" max="6275" width="23.7109375" style="51" customWidth="1"/>
    <col min="6276" max="6276" width="14.7109375" style="51" bestFit="1" customWidth="1"/>
    <col min="6277" max="6437" width="11.42578125" style="51"/>
    <col min="6438" max="6438" width="11.42578125" style="51" customWidth="1"/>
    <col min="6439" max="6439" width="14.42578125" style="51" bestFit="1" customWidth="1"/>
    <col min="6440" max="6440" width="11.42578125" style="51" customWidth="1"/>
    <col min="6441" max="6441" width="34.140625" style="51" customWidth="1"/>
    <col min="6442" max="6442" width="56.28515625" style="51" customWidth="1"/>
    <col min="6443" max="6443" width="18.7109375" style="51" customWidth="1"/>
    <col min="6444" max="6467" width="11.42578125" style="51" customWidth="1"/>
    <col min="6468" max="6471" width="15.7109375" style="51" customWidth="1"/>
    <col min="6472" max="6472" width="20.5703125" style="51" customWidth="1"/>
    <col min="6473" max="6474" width="19.85546875" style="51" customWidth="1"/>
    <col min="6475" max="6475" width="20" style="51" customWidth="1"/>
    <col min="6476" max="6476" width="20.42578125" style="51" customWidth="1"/>
    <col min="6477" max="6477" width="15.7109375" style="51" customWidth="1"/>
    <col min="6478" max="6478" width="19.28515625" style="51" bestFit="1" customWidth="1"/>
    <col min="6479" max="6479" width="18.85546875" style="51" bestFit="1" customWidth="1"/>
    <col min="6480" max="6527" width="15.7109375" style="51" customWidth="1"/>
    <col min="6528" max="6528" width="29" style="51" customWidth="1"/>
    <col min="6529" max="6529" width="23.85546875" style="51" customWidth="1"/>
    <col min="6530" max="6530" width="19.140625" style="51" customWidth="1"/>
    <col min="6531" max="6531" width="23.7109375" style="51" customWidth="1"/>
    <col min="6532" max="6532" width="14.7109375" style="51" bestFit="1" customWidth="1"/>
    <col min="6533" max="6693" width="11.42578125" style="51"/>
    <col min="6694" max="6694" width="11.42578125" style="51" customWidth="1"/>
    <col min="6695" max="6695" width="14.42578125" style="51" bestFit="1" customWidth="1"/>
    <col min="6696" max="6696" width="11.42578125" style="51" customWidth="1"/>
    <col min="6697" max="6697" width="34.140625" style="51" customWidth="1"/>
    <col min="6698" max="6698" width="56.28515625" style="51" customWidth="1"/>
    <col min="6699" max="6699" width="18.7109375" style="51" customWidth="1"/>
    <col min="6700" max="6723" width="11.42578125" style="51" customWidth="1"/>
    <col min="6724" max="6727" width="15.7109375" style="51" customWidth="1"/>
    <col min="6728" max="6728" width="20.5703125" style="51" customWidth="1"/>
    <col min="6729" max="6730" width="19.85546875" style="51" customWidth="1"/>
    <col min="6731" max="6731" width="20" style="51" customWidth="1"/>
    <col min="6732" max="6732" width="20.42578125" style="51" customWidth="1"/>
    <col min="6733" max="6733" width="15.7109375" style="51" customWidth="1"/>
    <col min="6734" max="6734" width="19.28515625" style="51" bestFit="1" customWidth="1"/>
    <col min="6735" max="6735" width="18.85546875" style="51" bestFit="1" customWidth="1"/>
    <col min="6736" max="6783" width="15.7109375" style="51" customWidth="1"/>
    <col min="6784" max="6784" width="29" style="51" customWidth="1"/>
    <col min="6785" max="6785" width="23.85546875" style="51" customWidth="1"/>
    <col min="6786" max="6786" width="19.140625" style="51" customWidth="1"/>
    <col min="6787" max="6787" width="23.7109375" style="51" customWidth="1"/>
    <col min="6788" max="6788" width="14.7109375" style="51" bestFit="1" customWidth="1"/>
    <col min="6789" max="6949" width="11.42578125" style="51"/>
    <col min="6950" max="6950" width="11.42578125" style="51" customWidth="1"/>
    <col min="6951" max="6951" width="14.42578125" style="51" bestFit="1" customWidth="1"/>
    <col min="6952" max="6952" width="11.42578125" style="51" customWidth="1"/>
    <col min="6953" max="6953" width="34.140625" style="51" customWidth="1"/>
    <col min="6954" max="6954" width="56.28515625" style="51" customWidth="1"/>
    <col min="6955" max="6955" width="18.7109375" style="51" customWidth="1"/>
    <col min="6956" max="6979" width="11.42578125" style="51" customWidth="1"/>
    <col min="6980" max="6983" width="15.7109375" style="51" customWidth="1"/>
    <col min="6984" max="6984" width="20.5703125" style="51" customWidth="1"/>
    <col min="6985" max="6986" width="19.85546875" style="51" customWidth="1"/>
    <col min="6987" max="6987" width="20" style="51" customWidth="1"/>
    <col min="6988" max="6988" width="20.42578125" style="51" customWidth="1"/>
    <col min="6989" max="6989" width="15.7109375" style="51" customWidth="1"/>
    <col min="6990" max="6990" width="19.28515625" style="51" bestFit="1" customWidth="1"/>
    <col min="6991" max="6991" width="18.85546875" style="51" bestFit="1" customWidth="1"/>
    <col min="6992" max="7039" width="15.7109375" style="51" customWidth="1"/>
    <col min="7040" max="7040" width="29" style="51" customWidth="1"/>
    <col min="7041" max="7041" width="23.85546875" style="51" customWidth="1"/>
    <col min="7042" max="7042" width="19.140625" style="51" customWidth="1"/>
    <col min="7043" max="7043" width="23.7109375" style="51" customWidth="1"/>
    <col min="7044" max="7044" width="14.7109375" style="51" bestFit="1" customWidth="1"/>
    <col min="7045" max="7205" width="11.42578125" style="51"/>
    <col min="7206" max="7206" width="11.42578125" style="51" customWidth="1"/>
    <col min="7207" max="7207" width="14.42578125" style="51" bestFit="1" customWidth="1"/>
    <col min="7208" max="7208" width="11.42578125" style="51" customWidth="1"/>
    <col min="7209" max="7209" width="34.140625" style="51" customWidth="1"/>
    <col min="7210" max="7210" width="56.28515625" style="51" customWidth="1"/>
    <col min="7211" max="7211" width="18.7109375" style="51" customWidth="1"/>
    <col min="7212" max="7235" width="11.42578125" style="51" customWidth="1"/>
    <col min="7236" max="7239" width="15.7109375" style="51" customWidth="1"/>
    <col min="7240" max="7240" width="20.5703125" style="51" customWidth="1"/>
    <col min="7241" max="7242" width="19.85546875" style="51" customWidth="1"/>
    <col min="7243" max="7243" width="20" style="51" customWidth="1"/>
    <col min="7244" max="7244" width="20.42578125" style="51" customWidth="1"/>
    <col min="7245" max="7245" width="15.7109375" style="51" customWidth="1"/>
    <col min="7246" max="7246" width="19.28515625" style="51" bestFit="1" customWidth="1"/>
    <col min="7247" max="7247" width="18.85546875" style="51" bestFit="1" customWidth="1"/>
    <col min="7248" max="7295" width="15.7109375" style="51" customWidth="1"/>
    <col min="7296" max="7296" width="29" style="51" customWidth="1"/>
    <col min="7297" max="7297" width="23.85546875" style="51" customWidth="1"/>
    <col min="7298" max="7298" width="19.140625" style="51" customWidth="1"/>
    <col min="7299" max="7299" width="23.7109375" style="51" customWidth="1"/>
    <col min="7300" max="7300" width="14.7109375" style="51" bestFit="1" customWidth="1"/>
    <col min="7301" max="7461" width="11.42578125" style="51"/>
    <col min="7462" max="7462" width="11.42578125" style="51" customWidth="1"/>
    <col min="7463" max="7463" width="14.42578125" style="51" bestFit="1" customWidth="1"/>
    <col min="7464" max="7464" width="11.42578125" style="51" customWidth="1"/>
    <col min="7465" max="7465" width="34.140625" style="51" customWidth="1"/>
    <col min="7466" max="7466" width="56.28515625" style="51" customWidth="1"/>
    <col min="7467" max="7467" width="18.7109375" style="51" customWidth="1"/>
    <col min="7468" max="7491" width="11.42578125" style="51" customWidth="1"/>
    <col min="7492" max="7495" width="15.7109375" style="51" customWidth="1"/>
    <col min="7496" max="7496" width="20.5703125" style="51" customWidth="1"/>
    <col min="7497" max="7498" width="19.85546875" style="51" customWidth="1"/>
    <col min="7499" max="7499" width="20" style="51" customWidth="1"/>
    <col min="7500" max="7500" width="20.42578125" style="51" customWidth="1"/>
    <col min="7501" max="7501" width="15.7109375" style="51" customWidth="1"/>
    <col min="7502" max="7502" width="19.28515625" style="51" bestFit="1" customWidth="1"/>
    <col min="7503" max="7503" width="18.85546875" style="51" bestFit="1" customWidth="1"/>
    <col min="7504" max="7551" width="15.7109375" style="51" customWidth="1"/>
    <col min="7552" max="7552" width="29" style="51" customWidth="1"/>
    <col min="7553" max="7553" width="23.85546875" style="51" customWidth="1"/>
    <col min="7554" max="7554" width="19.140625" style="51" customWidth="1"/>
    <col min="7555" max="7555" width="23.7109375" style="51" customWidth="1"/>
    <col min="7556" max="7556" width="14.7109375" style="51" bestFit="1" customWidth="1"/>
    <col min="7557" max="7717" width="11.42578125" style="51"/>
    <col min="7718" max="7718" width="11.42578125" style="51" customWidth="1"/>
    <col min="7719" max="7719" width="14.42578125" style="51" bestFit="1" customWidth="1"/>
    <col min="7720" max="7720" width="11.42578125" style="51" customWidth="1"/>
    <col min="7721" max="7721" width="34.140625" style="51" customWidth="1"/>
    <col min="7722" max="7722" width="56.28515625" style="51" customWidth="1"/>
    <col min="7723" max="7723" width="18.7109375" style="51" customWidth="1"/>
    <col min="7724" max="7747" width="11.42578125" style="51" customWidth="1"/>
    <col min="7748" max="7751" width="15.7109375" style="51" customWidth="1"/>
    <col min="7752" max="7752" width="20.5703125" style="51" customWidth="1"/>
    <col min="7753" max="7754" width="19.85546875" style="51" customWidth="1"/>
    <col min="7755" max="7755" width="20" style="51" customWidth="1"/>
    <col min="7756" max="7756" width="20.42578125" style="51" customWidth="1"/>
    <col min="7757" max="7757" width="15.7109375" style="51" customWidth="1"/>
    <col min="7758" max="7758" width="19.28515625" style="51" bestFit="1" customWidth="1"/>
    <col min="7759" max="7759" width="18.85546875" style="51" bestFit="1" customWidth="1"/>
    <col min="7760" max="7807" width="15.7109375" style="51" customWidth="1"/>
    <col min="7808" max="7808" width="29" style="51" customWidth="1"/>
    <col min="7809" max="7809" width="23.85546875" style="51" customWidth="1"/>
    <col min="7810" max="7810" width="19.140625" style="51" customWidth="1"/>
    <col min="7811" max="7811" width="23.7109375" style="51" customWidth="1"/>
    <col min="7812" max="7812" width="14.7109375" style="51" bestFit="1" customWidth="1"/>
    <col min="7813" max="7973" width="11.42578125" style="51"/>
    <col min="7974" max="7974" width="11.42578125" style="51" customWidth="1"/>
    <col min="7975" max="7975" width="14.42578125" style="51" bestFit="1" customWidth="1"/>
    <col min="7976" max="7976" width="11.42578125" style="51" customWidth="1"/>
    <col min="7977" max="7977" width="34.140625" style="51" customWidth="1"/>
    <col min="7978" max="7978" width="56.28515625" style="51" customWidth="1"/>
    <col min="7979" max="7979" width="18.7109375" style="51" customWidth="1"/>
    <col min="7980" max="8003" width="11.42578125" style="51" customWidth="1"/>
    <col min="8004" max="8007" width="15.7109375" style="51" customWidth="1"/>
    <col min="8008" max="8008" width="20.5703125" style="51" customWidth="1"/>
    <col min="8009" max="8010" width="19.85546875" style="51" customWidth="1"/>
    <col min="8011" max="8011" width="20" style="51" customWidth="1"/>
    <col min="8012" max="8012" width="20.42578125" style="51" customWidth="1"/>
    <col min="8013" max="8013" width="15.7109375" style="51" customWidth="1"/>
    <col min="8014" max="8014" width="19.28515625" style="51" bestFit="1" customWidth="1"/>
    <col min="8015" max="8015" width="18.85546875" style="51" bestFit="1" customWidth="1"/>
    <col min="8016" max="8063" width="15.7109375" style="51" customWidth="1"/>
    <col min="8064" max="8064" width="29" style="51" customWidth="1"/>
    <col min="8065" max="8065" width="23.85546875" style="51" customWidth="1"/>
    <col min="8066" max="8066" width="19.140625" style="51" customWidth="1"/>
    <col min="8067" max="8067" width="23.7109375" style="51" customWidth="1"/>
    <col min="8068" max="8068" width="14.7109375" style="51" bestFit="1" customWidth="1"/>
    <col min="8069" max="8229" width="11.42578125" style="51"/>
    <col min="8230" max="8230" width="11.42578125" style="51" customWidth="1"/>
    <col min="8231" max="8231" width="14.42578125" style="51" bestFit="1" customWidth="1"/>
    <col min="8232" max="8232" width="11.42578125" style="51" customWidth="1"/>
    <col min="8233" max="8233" width="34.140625" style="51" customWidth="1"/>
    <col min="8234" max="8234" width="56.28515625" style="51" customWidth="1"/>
    <col min="8235" max="8235" width="18.7109375" style="51" customWidth="1"/>
    <col min="8236" max="8259" width="11.42578125" style="51" customWidth="1"/>
    <col min="8260" max="8263" width="15.7109375" style="51" customWidth="1"/>
    <col min="8264" max="8264" width="20.5703125" style="51" customWidth="1"/>
    <col min="8265" max="8266" width="19.85546875" style="51" customWidth="1"/>
    <col min="8267" max="8267" width="20" style="51" customWidth="1"/>
    <col min="8268" max="8268" width="20.42578125" style="51" customWidth="1"/>
    <col min="8269" max="8269" width="15.7109375" style="51" customWidth="1"/>
    <col min="8270" max="8270" width="19.28515625" style="51" bestFit="1" customWidth="1"/>
    <col min="8271" max="8271" width="18.85546875" style="51" bestFit="1" customWidth="1"/>
    <col min="8272" max="8319" width="15.7109375" style="51" customWidth="1"/>
    <col min="8320" max="8320" width="29" style="51" customWidth="1"/>
    <col min="8321" max="8321" width="23.85546875" style="51" customWidth="1"/>
    <col min="8322" max="8322" width="19.140625" style="51" customWidth="1"/>
    <col min="8323" max="8323" width="23.7109375" style="51" customWidth="1"/>
    <col min="8324" max="8324" width="14.7109375" style="51" bestFit="1" customWidth="1"/>
    <col min="8325" max="8485" width="11.42578125" style="51"/>
    <col min="8486" max="8486" width="11.42578125" style="51" customWidth="1"/>
    <col min="8487" max="8487" width="14.42578125" style="51" bestFit="1" customWidth="1"/>
    <col min="8488" max="8488" width="11.42578125" style="51" customWidth="1"/>
    <col min="8489" max="8489" width="34.140625" style="51" customWidth="1"/>
    <col min="8490" max="8490" width="56.28515625" style="51" customWidth="1"/>
    <col min="8491" max="8491" width="18.7109375" style="51" customWidth="1"/>
    <col min="8492" max="8515" width="11.42578125" style="51" customWidth="1"/>
    <col min="8516" max="8519" width="15.7109375" style="51" customWidth="1"/>
    <col min="8520" max="8520" width="20.5703125" style="51" customWidth="1"/>
    <col min="8521" max="8522" width="19.85546875" style="51" customWidth="1"/>
    <col min="8523" max="8523" width="20" style="51" customWidth="1"/>
    <col min="8524" max="8524" width="20.42578125" style="51" customWidth="1"/>
    <col min="8525" max="8525" width="15.7109375" style="51" customWidth="1"/>
    <col min="8526" max="8526" width="19.28515625" style="51" bestFit="1" customWidth="1"/>
    <col min="8527" max="8527" width="18.85546875" style="51" bestFit="1" customWidth="1"/>
    <col min="8528" max="8575" width="15.7109375" style="51" customWidth="1"/>
    <col min="8576" max="8576" width="29" style="51" customWidth="1"/>
    <col min="8577" max="8577" width="23.85546875" style="51" customWidth="1"/>
    <col min="8578" max="8578" width="19.140625" style="51" customWidth="1"/>
    <col min="8579" max="8579" width="23.7109375" style="51" customWidth="1"/>
    <col min="8580" max="8580" width="14.7109375" style="51" bestFit="1" customWidth="1"/>
    <col min="8581" max="8741" width="11.42578125" style="51"/>
    <col min="8742" max="8742" width="11.42578125" style="51" customWidth="1"/>
    <col min="8743" max="8743" width="14.42578125" style="51" bestFit="1" customWidth="1"/>
    <col min="8744" max="8744" width="11.42578125" style="51" customWidth="1"/>
    <col min="8745" max="8745" width="34.140625" style="51" customWidth="1"/>
    <col min="8746" max="8746" width="56.28515625" style="51" customWidth="1"/>
    <col min="8747" max="8747" width="18.7109375" style="51" customWidth="1"/>
    <col min="8748" max="8771" width="11.42578125" style="51" customWidth="1"/>
    <col min="8772" max="8775" width="15.7109375" style="51" customWidth="1"/>
    <col min="8776" max="8776" width="20.5703125" style="51" customWidth="1"/>
    <col min="8777" max="8778" width="19.85546875" style="51" customWidth="1"/>
    <col min="8779" max="8779" width="20" style="51" customWidth="1"/>
    <col min="8780" max="8780" width="20.42578125" style="51" customWidth="1"/>
    <col min="8781" max="8781" width="15.7109375" style="51" customWidth="1"/>
    <col min="8782" max="8782" width="19.28515625" style="51" bestFit="1" customWidth="1"/>
    <col min="8783" max="8783" width="18.85546875" style="51" bestFit="1" customWidth="1"/>
    <col min="8784" max="8831" width="15.7109375" style="51" customWidth="1"/>
    <col min="8832" max="8832" width="29" style="51" customWidth="1"/>
    <col min="8833" max="8833" width="23.85546875" style="51" customWidth="1"/>
    <col min="8834" max="8834" width="19.140625" style="51" customWidth="1"/>
    <col min="8835" max="8835" width="23.7109375" style="51" customWidth="1"/>
    <col min="8836" max="8836" width="14.7109375" style="51" bestFit="1" customWidth="1"/>
    <col min="8837" max="8997" width="11.42578125" style="51"/>
    <col min="8998" max="8998" width="11.42578125" style="51" customWidth="1"/>
    <col min="8999" max="8999" width="14.42578125" style="51" bestFit="1" customWidth="1"/>
    <col min="9000" max="9000" width="11.42578125" style="51" customWidth="1"/>
    <col min="9001" max="9001" width="34.140625" style="51" customWidth="1"/>
    <col min="9002" max="9002" width="56.28515625" style="51" customWidth="1"/>
    <col min="9003" max="9003" width="18.7109375" style="51" customWidth="1"/>
    <col min="9004" max="9027" width="11.42578125" style="51" customWidth="1"/>
    <col min="9028" max="9031" width="15.7109375" style="51" customWidth="1"/>
    <col min="9032" max="9032" width="20.5703125" style="51" customWidth="1"/>
    <col min="9033" max="9034" width="19.85546875" style="51" customWidth="1"/>
    <col min="9035" max="9035" width="20" style="51" customWidth="1"/>
    <col min="9036" max="9036" width="20.42578125" style="51" customWidth="1"/>
    <col min="9037" max="9037" width="15.7109375" style="51" customWidth="1"/>
    <col min="9038" max="9038" width="19.28515625" style="51" bestFit="1" customWidth="1"/>
    <col min="9039" max="9039" width="18.85546875" style="51" bestFit="1" customWidth="1"/>
    <col min="9040" max="9087" width="15.7109375" style="51" customWidth="1"/>
    <col min="9088" max="9088" width="29" style="51" customWidth="1"/>
    <col min="9089" max="9089" width="23.85546875" style="51" customWidth="1"/>
    <col min="9090" max="9090" width="19.140625" style="51" customWidth="1"/>
    <col min="9091" max="9091" width="23.7109375" style="51" customWidth="1"/>
    <col min="9092" max="9092" width="14.7109375" style="51" bestFit="1" customWidth="1"/>
    <col min="9093" max="9253" width="11.42578125" style="51"/>
    <col min="9254" max="9254" width="11.42578125" style="51" customWidth="1"/>
    <col min="9255" max="9255" width="14.42578125" style="51" bestFit="1" customWidth="1"/>
    <col min="9256" max="9256" width="11.42578125" style="51" customWidth="1"/>
    <col min="9257" max="9257" width="34.140625" style="51" customWidth="1"/>
    <col min="9258" max="9258" width="56.28515625" style="51" customWidth="1"/>
    <col min="9259" max="9259" width="18.7109375" style="51" customWidth="1"/>
    <col min="9260" max="9283" width="11.42578125" style="51" customWidth="1"/>
    <col min="9284" max="9287" width="15.7109375" style="51" customWidth="1"/>
    <col min="9288" max="9288" width="20.5703125" style="51" customWidth="1"/>
    <col min="9289" max="9290" width="19.85546875" style="51" customWidth="1"/>
    <col min="9291" max="9291" width="20" style="51" customWidth="1"/>
    <col min="9292" max="9292" width="20.42578125" style="51" customWidth="1"/>
    <col min="9293" max="9293" width="15.7109375" style="51" customWidth="1"/>
    <col min="9294" max="9294" width="19.28515625" style="51" bestFit="1" customWidth="1"/>
    <col min="9295" max="9295" width="18.85546875" style="51" bestFit="1" customWidth="1"/>
    <col min="9296" max="9343" width="15.7109375" style="51" customWidth="1"/>
    <col min="9344" max="9344" width="29" style="51" customWidth="1"/>
    <col min="9345" max="9345" width="23.85546875" style="51" customWidth="1"/>
    <col min="9346" max="9346" width="19.140625" style="51" customWidth="1"/>
    <col min="9347" max="9347" width="23.7109375" style="51" customWidth="1"/>
    <col min="9348" max="9348" width="14.7109375" style="51" bestFit="1" customWidth="1"/>
    <col min="9349" max="9509" width="11.42578125" style="51"/>
    <col min="9510" max="9510" width="11.42578125" style="51" customWidth="1"/>
    <col min="9511" max="9511" width="14.42578125" style="51" bestFit="1" customWidth="1"/>
    <col min="9512" max="9512" width="11.42578125" style="51" customWidth="1"/>
    <col min="9513" max="9513" width="34.140625" style="51" customWidth="1"/>
    <col min="9514" max="9514" width="56.28515625" style="51" customWidth="1"/>
    <col min="9515" max="9515" width="18.7109375" style="51" customWidth="1"/>
    <col min="9516" max="9539" width="11.42578125" style="51" customWidth="1"/>
    <col min="9540" max="9543" width="15.7109375" style="51" customWidth="1"/>
    <col min="9544" max="9544" width="20.5703125" style="51" customWidth="1"/>
    <col min="9545" max="9546" width="19.85546875" style="51" customWidth="1"/>
    <col min="9547" max="9547" width="20" style="51" customWidth="1"/>
    <col min="9548" max="9548" width="20.42578125" style="51" customWidth="1"/>
    <col min="9549" max="9549" width="15.7109375" style="51" customWidth="1"/>
    <col min="9550" max="9550" width="19.28515625" style="51" bestFit="1" customWidth="1"/>
    <col min="9551" max="9551" width="18.85546875" style="51" bestFit="1" customWidth="1"/>
    <col min="9552" max="9599" width="15.7109375" style="51" customWidth="1"/>
    <col min="9600" max="9600" width="29" style="51" customWidth="1"/>
    <col min="9601" max="9601" width="23.85546875" style="51" customWidth="1"/>
    <col min="9602" max="9602" width="19.140625" style="51" customWidth="1"/>
    <col min="9603" max="9603" width="23.7109375" style="51" customWidth="1"/>
    <col min="9604" max="9604" width="14.7109375" style="51" bestFit="1" customWidth="1"/>
    <col min="9605" max="9765" width="11.42578125" style="51"/>
    <col min="9766" max="9766" width="11.42578125" style="51" customWidth="1"/>
    <col min="9767" max="9767" width="14.42578125" style="51" bestFit="1" customWidth="1"/>
    <col min="9768" max="9768" width="11.42578125" style="51" customWidth="1"/>
    <col min="9769" max="9769" width="34.140625" style="51" customWidth="1"/>
    <col min="9770" max="9770" width="56.28515625" style="51" customWidth="1"/>
    <col min="9771" max="9771" width="18.7109375" style="51" customWidth="1"/>
    <col min="9772" max="9795" width="11.42578125" style="51" customWidth="1"/>
    <col min="9796" max="9799" width="15.7109375" style="51" customWidth="1"/>
    <col min="9800" max="9800" width="20.5703125" style="51" customWidth="1"/>
    <col min="9801" max="9802" width="19.85546875" style="51" customWidth="1"/>
    <col min="9803" max="9803" width="20" style="51" customWidth="1"/>
    <col min="9804" max="9804" width="20.42578125" style="51" customWidth="1"/>
    <col min="9805" max="9805" width="15.7109375" style="51" customWidth="1"/>
    <col min="9806" max="9806" width="19.28515625" style="51" bestFit="1" customWidth="1"/>
    <col min="9807" max="9807" width="18.85546875" style="51" bestFit="1" customWidth="1"/>
    <col min="9808" max="9855" width="15.7109375" style="51" customWidth="1"/>
    <col min="9856" max="9856" width="29" style="51" customWidth="1"/>
    <col min="9857" max="9857" width="23.85546875" style="51" customWidth="1"/>
    <col min="9858" max="9858" width="19.140625" style="51" customWidth="1"/>
    <col min="9859" max="9859" width="23.7109375" style="51" customWidth="1"/>
    <col min="9860" max="9860" width="14.7109375" style="51" bestFit="1" customWidth="1"/>
    <col min="9861" max="10021" width="11.42578125" style="51"/>
    <col min="10022" max="10022" width="11.42578125" style="51" customWidth="1"/>
    <col min="10023" max="10023" width="14.42578125" style="51" bestFit="1" customWidth="1"/>
    <col min="10024" max="10024" width="11.42578125" style="51" customWidth="1"/>
    <col min="10025" max="10025" width="34.140625" style="51" customWidth="1"/>
    <col min="10026" max="10026" width="56.28515625" style="51" customWidth="1"/>
    <col min="10027" max="10027" width="18.7109375" style="51" customWidth="1"/>
    <col min="10028" max="10051" width="11.42578125" style="51" customWidth="1"/>
    <col min="10052" max="10055" width="15.7109375" style="51" customWidth="1"/>
    <col min="10056" max="10056" width="20.5703125" style="51" customWidth="1"/>
    <col min="10057" max="10058" width="19.85546875" style="51" customWidth="1"/>
    <col min="10059" max="10059" width="20" style="51" customWidth="1"/>
    <col min="10060" max="10060" width="20.42578125" style="51" customWidth="1"/>
    <col min="10061" max="10061" width="15.7109375" style="51" customWidth="1"/>
    <col min="10062" max="10062" width="19.28515625" style="51" bestFit="1" customWidth="1"/>
    <col min="10063" max="10063" width="18.85546875" style="51" bestFit="1" customWidth="1"/>
    <col min="10064" max="10111" width="15.7109375" style="51" customWidth="1"/>
    <col min="10112" max="10112" width="29" style="51" customWidth="1"/>
    <col min="10113" max="10113" width="23.85546875" style="51" customWidth="1"/>
    <col min="10114" max="10114" width="19.140625" style="51" customWidth="1"/>
    <col min="10115" max="10115" width="23.7109375" style="51" customWidth="1"/>
    <col min="10116" max="10116" width="14.7109375" style="51" bestFit="1" customWidth="1"/>
    <col min="10117" max="10277" width="11.42578125" style="51"/>
    <col min="10278" max="10278" width="11.42578125" style="51" customWidth="1"/>
    <col min="10279" max="10279" width="14.42578125" style="51" bestFit="1" customWidth="1"/>
    <col min="10280" max="10280" width="11.42578125" style="51" customWidth="1"/>
    <col min="10281" max="10281" width="34.140625" style="51" customWidth="1"/>
    <col min="10282" max="10282" width="56.28515625" style="51" customWidth="1"/>
    <col min="10283" max="10283" width="18.7109375" style="51" customWidth="1"/>
    <col min="10284" max="10307" width="11.42578125" style="51" customWidth="1"/>
    <col min="10308" max="10311" width="15.7109375" style="51" customWidth="1"/>
    <col min="10312" max="10312" width="20.5703125" style="51" customWidth="1"/>
    <col min="10313" max="10314" width="19.85546875" style="51" customWidth="1"/>
    <col min="10315" max="10315" width="20" style="51" customWidth="1"/>
    <col min="10316" max="10316" width="20.42578125" style="51" customWidth="1"/>
    <col min="10317" max="10317" width="15.7109375" style="51" customWidth="1"/>
    <col min="10318" max="10318" width="19.28515625" style="51" bestFit="1" customWidth="1"/>
    <col min="10319" max="10319" width="18.85546875" style="51" bestFit="1" customWidth="1"/>
    <col min="10320" max="10367" width="15.7109375" style="51" customWidth="1"/>
    <col min="10368" max="10368" width="29" style="51" customWidth="1"/>
    <col min="10369" max="10369" width="23.85546875" style="51" customWidth="1"/>
    <col min="10370" max="10370" width="19.140625" style="51" customWidth="1"/>
    <col min="10371" max="10371" width="23.7109375" style="51" customWidth="1"/>
    <col min="10372" max="10372" width="14.7109375" style="51" bestFit="1" customWidth="1"/>
    <col min="10373" max="10533" width="11.42578125" style="51"/>
    <col min="10534" max="10534" width="11.42578125" style="51" customWidth="1"/>
    <col min="10535" max="10535" width="14.42578125" style="51" bestFit="1" customWidth="1"/>
    <col min="10536" max="10536" width="11.42578125" style="51" customWidth="1"/>
    <col min="10537" max="10537" width="34.140625" style="51" customWidth="1"/>
    <col min="10538" max="10538" width="56.28515625" style="51" customWidth="1"/>
    <col min="10539" max="10539" width="18.7109375" style="51" customWidth="1"/>
    <col min="10540" max="10563" width="11.42578125" style="51" customWidth="1"/>
    <col min="10564" max="10567" width="15.7109375" style="51" customWidth="1"/>
    <col min="10568" max="10568" width="20.5703125" style="51" customWidth="1"/>
    <col min="10569" max="10570" width="19.85546875" style="51" customWidth="1"/>
    <col min="10571" max="10571" width="20" style="51" customWidth="1"/>
    <col min="10572" max="10572" width="20.42578125" style="51" customWidth="1"/>
    <col min="10573" max="10573" width="15.7109375" style="51" customWidth="1"/>
    <col min="10574" max="10574" width="19.28515625" style="51" bestFit="1" customWidth="1"/>
    <col min="10575" max="10575" width="18.85546875" style="51" bestFit="1" customWidth="1"/>
    <col min="10576" max="10623" width="15.7109375" style="51" customWidth="1"/>
    <col min="10624" max="10624" width="29" style="51" customWidth="1"/>
    <col min="10625" max="10625" width="23.85546875" style="51" customWidth="1"/>
    <col min="10626" max="10626" width="19.140625" style="51" customWidth="1"/>
    <col min="10627" max="10627" width="23.7109375" style="51" customWidth="1"/>
    <col min="10628" max="10628" width="14.7109375" style="51" bestFit="1" customWidth="1"/>
    <col min="10629" max="10789" width="11.42578125" style="51"/>
    <col min="10790" max="10790" width="11.42578125" style="51" customWidth="1"/>
    <col min="10791" max="10791" width="14.42578125" style="51" bestFit="1" customWidth="1"/>
    <col min="10792" max="10792" width="11.42578125" style="51" customWidth="1"/>
    <col min="10793" max="10793" width="34.140625" style="51" customWidth="1"/>
    <col min="10794" max="10794" width="56.28515625" style="51" customWidth="1"/>
    <col min="10795" max="10795" width="18.7109375" style="51" customWidth="1"/>
    <col min="10796" max="10819" width="11.42578125" style="51" customWidth="1"/>
    <col min="10820" max="10823" width="15.7109375" style="51" customWidth="1"/>
    <col min="10824" max="10824" width="20.5703125" style="51" customWidth="1"/>
    <col min="10825" max="10826" width="19.85546875" style="51" customWidth="1"/>
    <col min="10827" max="10827" width="20" style="51" customWidth="1"/>
    <col min="10828" max="10828" width="20.42578125" style="51" customWidth="1"/>
    <col min="10829" max="10829" width="15.7109375" style="51" customWidth="1"/>
    <col min="10830" max="10830" width="19.28515625" style="51" bestFit="1" customWidth="1"/>
    <col min="10831" max="10831" width="18.85546875" style="51" bestFit="1" customWidth="1"/>
    <col min="10832" max="10879" width="15.7109375" style="51" customWidth="1"/>
    <col min="10880" max="10880" width="29" style="51" customWidth="1"/>
    <col min="10881" max="10881" width="23.85546875" style="51" customWidth="1"/>
    <col min="10882" max="10882" width="19.140625" style="51" customWidth="1"/>
    <col min="10883" max="10883" width="23.7109375" style="51" customWidth="1"/>
    <col min="10884" max="10884" width="14.7109375" style="51" bestFit="1" customWidth="1"/>
    <col min="10885" max="11045" width="11.42578125" style="51"/>
    <col min="11046" max="11046" width="11.42578125" style="51" customWidth="1"/>
    <col min="11047" max="11047" width="14.42578125" style="51" bestFit="1" customWidth="1"/>
    <col min="11048" max="11048" width="11.42578125" style="51" customWidth="1"/>
    <col min="11049" max="11049" width="34.140625" style="51" customWidth="1"/>
    <col min="11050" max="11050" width="56.28515625" style="51" customWidth="1"/>
    <col min="11051" max="11051" width="18.7109375" style="51" customWidth="1"/>
    <col min="11052" max="11075" width="11.42578125" style="51" customWidth="1"/>
    <col min="11076" max="11079" width="15.7109375" style="51" customWidth="1"/>
    <col min="11080" max="11080" width="20.5703125" style="51" customWidth="1"/>
    <col min="11081" max="11082" width="19.85546875" style="51" customWidth="1"/>
    <col min="11083" max="11083" width="20" style="51" customWidth="1"/>
    <col min="11084" max="11084" width="20.42578125" style="51" customWidth="1"/>
    <col min="11085" max="11085" width="15.7109375" style="51" customWidth="1"/>
    <col min="11086" max="11086" width="19.28515625" style="51" bestFit="1" customWidth="1"/>
    <col min="11087" max="11087" width="18.85546875" style="51" bestFit="1" customWidth="1"/>
    <col min="11088" max="11135" width="15.7109375" style="51" customWidth="1"/>
    <col min="11136" max="11136" width="29" style="51" customWidth="1"/>
    <col min="11137" max="11137" width="23.85546875" style="51" customWidth="1"/>
    <col min="11138" max="11138" width="19.140625" style="51" customWidth="1"/>
    <col min="11139" max="11139" width="23.7109375" style="51" customWidth="1"/>
    <col min="11140" max="11140" width="14.7109375" style="51" bestFit="1" customWidth="1"/>
    <col min="11141" max="11301" width="11.42578125" style="51"/>
    <col min="11302" max="11302" width="11.42578125" style="51" customWidth="1"/>
    <col min="11303" max="11303" width="14.42578125" style="51" bestFit="1" customWidth="1"/>
    <col min="11304" max="11304" width="11.42578125" style="51" customWidth="1"/>
    <col min="11305" max="11305" width="34.140625" style="51" customWidth="1"/>
    <col min="11306" max="11306" width="56.28515625" style="51" customWidth="1"/>
    <col min="11307" max="11307" width="18.7109375" style="51" customWidth="1"/>
    <col min="11308" max="11331" width="11.42578125" style="51" customWidth="1"/>
    <col min="11332" max="11335" width="15.7109375" style="51" customWidth="1"/>
    <col min="11336" max="11336" width="20.5703125" style="51" customWidth="1"/>
    <col min="11337" max="11338" width="19.85546875" style="51" customWidth="1"/>
    <col min="11339" max="11339" width="20" style="51" customWidth="1"/>
    <col min="11340" max="11340" width="20.42578125" style="51" customWidth="1"/>
    <col min="11341" max="11341" width="15.7109375" style="51" customWidth="1"/>
    <col min="11342" max="11342" width="19.28515625" style="51" bestFit="1" customWidth="1"/>
    <col min="11343" max="11343" width="18.85546875" style="51" bestFit="1" customWidth="1"/>
    <col min="11344" max="11391" width="15.7109375" style="51" customWidth="1"/>
    <col min="11392" max="11392" width="29" style="51" customWidth="1"/>
    <col min="11393" max="11393" width="23.85546875" style="51" customWidth="1"/>
    <col min="11394" max="11394" width="19.140625" style="51" customWidth="1"/>
    <col min="11395" max="11395" width="23.7109375" style="51" customWidth="1"/>
    <col min="11396" max="11396" width="14.7109375" style="51" bestFit="1" customWidth="1"/>
    <col min="11397" max="11557" width="11.42578125" style="51"/>
    <col min="11558" max="11558" width="11.42578125" style="51" customWidth="1"/>
    <col min="11559" max="11559" width="14.42578125" style="51" bestFit="1" customWidth="1"/>
    <col min="11560" max="11560" width="11.42578125" style="51" customWidth="1"/>
    <col min="11561" max="11561" width="34.140625" style="51" customWidth="1"/>
    <col min="11562" max="11562" width="56.28515625" style="51" customWidth="1"/>
    <col min="11563" max="11563" width="18.7109375" style="51" customWidth="1"/>
    <col min="11564" max="11587" width="11.42578125" style="51" customWidth="1"/>
    <col min="11588" max="11591" width="15.7109375" style="51" customWidth="1"/>
    <col min="11592" max="11592" width="20.5703125" style="51" customWidth="1"/>
    <col min="11593" max="11594" width="19.85546875" style="51" customWidth="1"/>
    <col min="11595" max="11595" width="20" style="51" customWidth="1"/>
    <col min="11596" max="11596" width="20.42578125" style="51" customWidth="1"/>
    <col min="11597" max="11597" width="15.7109375" style="51" customWidth="1"/>
    <col min="11598" max="11598" width="19.28515625" style="51" bestFit="1" customWidth="1"/>
    <col min="11599" max="11599" width="18.85546875" style="51" bestFit="1" customWidth="1"/>
    <col min="11600" max="11647" width="15.7109375" style="51" customWidth="1"/>
    <col min="11648" max="11648" width="29" style="51" customWidth="1"/>
    <col min="11649" max="11649" width="23.85546875" style="51" customWidth="1"/>
    <col min="11650" max="11650" width="19.140625" style="51" customWidth="1"/>
    <col min="11651" max="11651" width="23.7109375" style="51" customWidth="1"/>
    <col min="11652" max="11652" width="14.7109375" style="51" bestFit="1" customWidth="1"/>
    <col min="11653" max="11813" width="11.42578125" style="51"/>
    <col min="11814" max="11814" width="11.42578125" style="51" customWidth="1"/>
    <col min="11815" max="11815" width="14.42578125" style="51" bestFit="1" customWidth="1"/>
    <col min="11816" max="11816" width="11.42578125" style="51" customWidth="1"/>
    <col min="11817" max="11817" width="34.140625" style="51" customWidth="1"/>
    <col min="11818" max="11818" width="56.28515625" style="51" customWidth="1"/>
    <col min="11819" max="11819" width="18.7109375" style="51" customWidth="1"/>
    <col min="11820" max="11843" width="11.42578125" style="51" customWidth="1"/>
    <col min="11844" max="11847" width="15.7109375" style="51" customWidth="1"/>
    <col min="11848" max="11848" width="20.5703125" style="51" customWidth="1"/>
    <col min="11849" max="11850" width="19.85546875" style="51" customWidth="1"/>
    <col min="11851" max="11851" width="20" style="51" customWidth="1"/>
    <col min="11852" max="11852" width="20.42578125" style="51" customWidth="1"/>
    <col min="11853" max="11853" width="15.7109375" style="51" customWidth="1"/>
    <col min="11854" max="11854" width="19.28515625" style="51" bestFit="1" customWidth="1"/>
    <col min="11855" max="11855" width="18.85546875" style="51" bestFit="1" customWidth="1"/>
    <col min="11856" max="11903" width="15.7109375" style="51" customWidth="1"/>
    <col min="11904" max="11904" width="29" style="51" customWidth="1"/>
    <col min="11905" max="11905" width="23.85546875" style="51" customWidth="1"/>
    <col min="11906" max="11906" width="19.140625" style="51" customWidth="1"/>
    <col min="11907" max="11907" width="23.7109375" style="51" customWidth="1"/>
    <col min="11908" max="11908" width="14.7109375" style="51" bestFit="1" customWidth="1"/>
    <col min="11909" max="12069" width="11.42578125" style="51"/>
    <col min="12070" max="12070" width="11.42578125" style="51" customWidth="1"/>
    <col min="12071" max="12071" width="14.42578125" style="51" bestFit="1" customWidth="1"/>
    <col min="12072" max="12072" width="11.42578125" style="51" customWidth="1"/>
    <col min="12073" max="12073" width="34.140625" style="51" customWidth="1"/>
    <col min="12074" max="12074" width="56.28515625" style="51" customWidth="1"/>
    <col min="12075" max="12075" width="18.7109375" style="51" customWidth="1"/>
    <col min="12076" max="12099" width="11.42578125" style="51" customWidth="1"/>
    <col min="12100" max="12103" width="15.7109375" style="51" customWidth="1"/>
    <col min="12104" max="12104" width="20.5703125" style="51" customWidth="1"/>
    <col min="12105" max="12106" width="19.85546875" style="51" customWidth="1"/>
    <col min="12107" max="12107" width="20" style="51" customWidth="1"/>
    <col min="12108" max="12108" width="20.42578125" style="51" customWidth="1"/>
    <col min="12109" max="12109" width="15.7109375" style="51" customWidth="1"/>
    <col min="12110" max="12110" width="19.28515625" style="51" bestFit="1" customWidth="1"/>
    <col min="12111" max="12111" width="18.85546875" style="51" bestFit="1" customWidth="1"/>
    <col min="12112" max="12159" width="15.7109375" style="51" customWidth="1"/>
    <col min="12160" max="12160" width="29" style="51" customWidth="1"/>
    <col min="12161" max="12161" width="23.85546875" style="51" customWidth="1"/>
    <col min="12162" max="12162" width="19.140625" style="51" customWidth="1"/>
    <col min="12163" max="12163" width="23.7109375" style="51" customWidth="1"/>
    <col min="12164" max="12164" width="14.7109375" style="51" bestFit="1" customWidth="1"/>
    <col min="12165" max="12325" width="11.42578125" style="51"/>
    <col min="12326" max="12326" width="11.42578125" style="51" customWidth="1"/>
    <col min="12327" max="12327" width="14.42578125" style="51" bestFit="1" customWidth="1"/>
    <col min="12328" max="12328" width="11.42578125" style="51" customWidth="1"/>
    <col min="12329" max="12329" width="34.140625" style="51" customWidth="1"/>
    <col min="12330" max="12330" width="56.28515625" style="51" customWidth="1"/>
    <col min="12331" max="12331" width="18.7109375" style="51" customWidth="1"/>
    <col min="12332" max="12355" width="11.42578125" style="51" customWidth="1"/>
    <col min="12356" max="12359" width="15.7109375" style="51" customWidth="1"/>
    <col min="12360" max="12360" width="20.5703125" style="51" customWidth="1"/>
    <col min="12361" max="12362" width="19.85546875" style="51" customWidth="1"/>
    <col min="12363" max="12363" width="20" style="51" customWidth="1"/>
    <col min="12364" max="12364" width="20.42578125" style="51" customWidth="1"/>
    <col min="12365" max="12365" width="15.7109375" style="51" customWidth="1"/>
    <col min="12366" max="12366" width="19.28515625" style="51" bestFit="1" customWidth="1"/>
    <col min="12367" max="12367" width="18.85546875" style="51" bestFit="1" customWidth="1"/>
    <col min="12368" max="12415" width="15.7109375" style="51" customWidth="1"/>
    <col min="12416" max="12416" width="29" style="51" customWidth="1"/>
    <col min="12417" max="12417" width="23.85546875" style="51" customWidth="1"/>
    <col min="12418" max="12418" width="19.140625" style="51" customWidth="1"/>
    <col min="12419" max="12419" width="23.7109375" style="51" customWidth="1"/>
    <col min="12420" max="12420" width="14.7109375" style="51" bestFit="1" customWidth="1"/>
    <col min="12421" max="12581" width="11.42578125" style="51"/>
    <col min="12582" max="12582" width="11.42578125" style="51" customWidth="1"/>
    <col min="12583" max="12583" width="14.42578125" style="51" bestFit="1" customWidth="1"/>
    <col min="12584" max="12584" width="11.42578125" style="51" customWidth="1"/>
    <col min="12585" max="12585" width="34.140625" style="51" customWidth="1"/>
    <col min="12586" max="12586" width="56.28515625" style="51" customWidth="1"/>
    <col min="12587" max="12587" width="18.7109375" style="51" customWidth="1"/>
    <col min="12588" max="12611" width="11.42578125" style="51" customWidth="1"/>
    <col min="12612" max="12615" width="15.7109375" style="51" customWidth="1"/>
    <col min="12616" max="12616" width="20.5703125" style="51" customWidth="1"/>
    <col min="12617" max="12618" width="19.85546875" style="51" customWidth="1"/>
    <col min="12619" max="12619" width="20" style="51" customWidth="1"/>
    <col min="12620" max="12620" width="20.42578125" style="51" customWidth="1"/>
    <col min="12621" max="12621" width="15.7109375" style="51" customWidth="1"/>
    <col min="12622" max="12622" width="19.28515625" style="51" bestFit="1" customWidth="1"/>
    <col min="12623" max="12623" width="18.85546875" style="51" bestFit="1" customWidth="1"/>
    <col min="12624" max="12671" width="15.7109375" style="51" customWidth="1"/>
    <col min="12672" max="12672" width="29" style="51" customWidth="1"/>
    <col min="12673" max="12673" width="23.85546875" style="51" customWidth="1"/>
    <col min="12674" max="12674" width="19.140625" style="51" customWidth="1"/>
    <col min="12675" max="12675" width="23.7109375" style="51" customWidth="1"/>
    <col min="12676" max="12676" width="14.7109375" style="51" bestFit="1" customWidth="1"/>
    <col min="12677" max="12837" width="11.42578125" style="51"/>
    <col min="12838" max="12838" width="11.42578125" style="51" customWidth="1"/>
    <col min="12839" max="12839" width="14.42578125" style="51" bestFit="1" customWidth="1"/>
    <col min="12840" max="12840" width="11.42578125" style="51" customWidth="1"/>
    <col min="12841" max="12841" width="34.140625" style="51" customWidth="1"/>
    <col min="12842" max="12842" width="56.28515625" style="51" customWidth="1"/>
    <col min="12843" max="12843" width="18.7109375" style="51" customWidth="1"/>
    <col min="12844" max="12867" width="11.42578125" style="51" customWidth="1"/>
    <col min="12868" max="12871" width="15.7109375" style="51" customWidth="1"/>
    <col min="12872" max="12872" width="20.5703125" style="51" customWidth="1"/>
    <col min="12873" max="12874" width="19.85546875" style="51" customWidth="1"/>
    <col min="12875" max="12875" width="20" style="51" customWidth="1"/>
    <col min="12876" max="12876" width="20.42578125" style="51" customWidth="1"/>
    <col min="12877" max="12877" width="15.7109375" style="51" customWidth="1"/>
    <col min="12878" max="12878" width="19.28515625" style="51" bestFit="1" customWidth="1"/>
    <col min="12879" max="12879" width="18.85546875" style="51" bestFit="1" customWidth="1"/>
    <col min="12880" max="12927" width="15.7109375" style="51" customWidth="1"/>
    <col min="12928" max="12928" width="29" style="51" customWidth="1"/>
    <col min="12929" max="12929" width="23.85546875" style="51" customWidth="1"/>
    <col min="12930" max="12930" width="19.140625" style="51" customWidth="1"/>
    <col min="12931" max="12931" width="23.7109375" style="51" customWidth="1"/>
    <col min="12932" max="12932" width="14.7109375" style="51" bestFit="1" customWidth="1"/>
    <col min="12933" max="13093" width="11.42578125" style="51"/>
    <col min="13094" max="13094" width="11.42578125" style="51" customWidth="1"/>
    <col min="13095" max="13095" width="14.42578125" style="51" bestFit="1" customWidth="1"/>
    <col min="13096" max="13096" width="11.42578125" style="51" customWidth="1"/>
    <col min="13097" max="13097" width="34.140625" style="51" customWidth="1"/>
    <col min="13098" max="13098" width="56.28515625" style="51" customWidth="1"/>
    <col min="13099" max="13099" width="18.7109375" style="51" customWidth="1"/>
    <col min="13100" max="13123" width="11.42578125" style="51" customWidth="1"/>
    <col min="13124" max="13127" width="15.7109375" style="51" customWidth="1"/>
    <col min="13128" max="13128" width="20.5703125" style="51" customWidth="1"/>
    <col min="13129" max="13130" width="19.85546875" style="51" customWidth="1"/>
    <col min="13131" max="13131" width="20" style="51" customWidth="1"/>
    <col min="13132" max="13132" width="20.42578125" style="51" customWidth="1"/>
    <col min="13133" max="13133" width="15.7109375" style="51" customWidth="1"/>
    <col min="13134" max="13134" width="19.28515625" style="51" bestFit="1" customWidth="1"/>
    <col min="13135" max="13135" width="18.85546875" style="51" bestFit="1" customWidth="1"/>
    <col min="13136" max="13183" width="15.7109375" style="51" customWidth="1"/>
    <col min="13184" max="13184" width="29" style="51" customWidth="1"/>
    <col min="13185" max="13185" width="23.85546875" style="51" customWidth="1"/>
    <col min="13186" max="13186" width="19.140625" style="51" customWidth="1"/>
    <col min="13187" max="13187" width="23.7109375" style="51" customWidth="1"/>
    <col min="13188" max="13188" width="14.7109375" style="51" bestFit="1" customWidth="1"/>
    <col min="13189" max="13349" width="11.42578125" style="51"/>
    <col min="13350" max="13350" width="11.42578125" style="51" customWidth="1"/>
    <col min="13351" max="13351" width="14.42578125" style="51" bestFit="1" customWidth="1"/>
    <col min="13352" max="13352" width="11.42578125" style="51" customWidth="1"/>
    <col min="13353" max="13353" width="34.140625" style="51" customWidth="1"/>
    <col min="13354" max="13354" width="56.28515625" style="51" customWidth="1"/>
    <col min="13355" max="13355" width="18.7109375" style="51" customWidth="1"/>
    <col min="13356" max="13379" width="11.42578125" style="51" customWidth="1"/>
    <col min="13380" max="13383" width="15.7109375" style="51" customWidth="1"/>
    <col min="13384" max="13384" width="20.5703125" style="51" customWidth="1"/>
    <col min="13385" max="13386" width="19.85546875" style="51" customWidth="1"/>
    <col min="13387" max="13387" width="20" style="51" customWidth="1"/>
    <col min="13388" max="13388" width="20.42578125" style="51" customWidth="1"/>
    <col min="13389" max="13389" width="15.7109375" style="51" customWidth="1"/>
    <col min="13390" max="13390" width="19.28515625" style="51" bestFit="1" customWidth="1"/>
    <col min="13391" max="13391" width="18.85546875" style="51" bestFit="1" customWidth="1"/>
    <col min="13392" max="13439" width="15.7109375" style="51" customWidth="1"/>
    <col min="13440" max="13440" width="29" style="51" customWidth="1"/>
    <col min="13441" max="13441" width="23.85546875" style="51" customWidth="1"/>
    <col min="13442" max="13442" width="19.140625" style="51" customWidth="1"/>
    <col min="13443" max="13443" width="23.7109375" style="51" customWidth="1"/>
    <col min="13444" max="13444" width="14.7109375" style="51" bestFit="1" customWidth="1"/>
    <col min="13445" max="13605" width="11.42578125" style="51"/>
    <col min="13606" max="13606" width="11.42578125" style="51" customWidth="1"/>
    <col min="13607" max="13607" width="14.42578125" style="51" bestFit="1" customWidth="1"/>
    <col min="13608" max="13608" width="11.42578125" style="51" customWidth="1"/>
    <col min="13609" max="13609" width="34.140625" style="51" customWidth="1"/>
    <col min="13610" max="13610" width="56.28515625" style="51" customWidth="1"/>
    <col min="13611" max="13611" width="18.7109375" style="51" customWidth="1"/>
    <col min="13612" max="13635" width="11.42578125" style="51" customWidth="1"/>
    <col min="13636" max="13639" width="15.7109375" style="51" customWidth="1"/>
    <col min="13640" max="13640" width="20.5703125" style="51" customWidth="1"/>
    <col min="13641" max="13642" width="19.85546875" style="51" customWidth="1"/>
    <col min="13643" max="13643" width="20" style="51" customWidth="1"/>
    <col min="13644" max="13644" width="20.42578125" style="51" customWidth="1"/>
    <col min="13645" max="13645" width="15.7109375" style="51" customWidth="1"/>
    <col min="13646" max="13646" width="19.28515625" style="51" bestFit="1" customWidth="1"/>
    <col min="13647" max="13647" width="18.85546875" style="51" bestFit="1" customWidth="1"/>
    <col min="13648" max="13695" width="15.7109375" style="51" customWidth="1"/>
    <col min="13696" max="13696" width="29" style="51" customWidth="1"/>
    <col min="13697" max="13697" width="23.85546875" style="51" customWidth="1"/>
    <col min="13698" max="13698" width="19.140625" style="51" customWidth="1"/>
    <col min="13699" max="13699" width="23.7109375" style="51" customWidth="1"/>
    <col min="13700" max="13700" width="14.7109375" style="51" bestFit="1" customWidth="1"/>
    <col min="13701" max="13861" width="11.42578125" style="51"/>
    <col min="13862" max="13862" width="11.42578125" style="51" customWidth="1"/>
    <col min="13863" max="13863" width="14.42578125" style="51" bestFit="1" customWidth="1"/>
    <col min="13864" max="13864" width="11.42578125" style="51" customWidth="1"/>
    <col min="13865" max="13865" width="34.140625" style="51" customWidth="1"/>
    <col min="13866" max="13866" width="56.28515625" style="51" customWidth="1"/>
    <col min="13867" max="13867" width="18.7109375" style="51" customWidth="1"/>
    <col min="13868" max="13891" width="11.42578125" style="51" customWidth="1"/>
    <col min="13892" max="13895" width="15.7109375" style="51" customWidth="1"/>
    <col min="13896" max="13896" width="20.5703125" style="51" customWidth="1"/>
    <col min="13897" max="13898" width="19.85546875" style="51" customWidth="1"/>
    <col min="13899" max="13899" width="20" style="51" customWidth="1"/>
    <col min="13900" max="13900" width="20.42578125" style="51" customWidth="1"/>
    <col min="13901" max="13901" width="15.7109375" style="51" customWidth="1"/>
    <col min="13902" max="13902" width="19.28515625" style="51" bestFit="1" customWidth="1"/>
    <col min="13903" max="13903" width="18.85546875" style="51" bestFit="1" customWidth="1"/>
    <col min="13904" max="13951" width="15.7109375" style="51" customWidth="1"/>
    <col min="13952" max="13952" width="29" style="51" customWidth="1"/>
    <col min="13953" max="13953" width="23.85546875" style="51" customWidth="1"/>
    <col min="13954" max="13954" width="19.140625" style="51" customWidth="1"/>
    <col min="13955" max="13955" width="23.7109375" style="51" customWidth="1"/>
    <col min="13956" max="13956" width="14.7109375" style="51" bestFit="1" customWidth="1"/>
    <col min="13957" max="14117" width="11.42578125" style="51"/>
    <col min="14118" max="14118" width="11.42578125" style="51" customWidth="1"/>
    <col min="14119" max="14119" width="14.42578125" style="51" bestFit="1" customWidth="1"/>
    <col min="14120" max="14120" width="11.42578125" style="51" customWidth="1"/>
    <col min="14121" max="14121" width="34.140625" style="51" customWidth="1"/>
    <col min="14122" max="14122" width="56.28515625" style="51" customWidth="1"/>
    <col min="14123" max="14123" width="18.7109375" style="51" customWidth="1"/>
    <col min="14124" max="14147" width="11.42578125" style="51" customWidth="1"/>
    <col min="14148" max="14151" width="15.7109375" style="51" customWidth="1"/>
    <col min="14152" max="14152" width="20.5703125" style="51" customWidth="1"/>
    <col min="14153" max="14154" width="19.85546875" style="51" customWidth="1"/>
    <col min="14155" max="14155" width="20" style="51" customWidth="1"/>
    <col min="14156" max="14156" width="20.42578125" style="51" customWidth="1"/>
    <col min="14157" max="14157" width="15.7109375" style="51" customWidth="1"/>
    <col min="14158" max="14158" width="19.28515625" style="51" bestFit="1" customWidth="1"/>
    <col min="14159" max="14159" width="18.85546875" style="51" bestFit="1" customWidth="1"/>
    <col min="14160" max="14207" width="15.7109375" style="51" customWidth="1"/>
    <col min="14208" max="14208" width="29" style="51" customWidth="1"/>
    <col min="14209" max="14209" width="23.85546875" style="51" customWidth="1"/>
    <col min="14210" max="14210" width="19.140625" style="51" customWidth="1"/>
    <col min="14211" max="14211" width="23.7109375" style="51" customWidth="1"/>
    <col min="14212" max="14212" width="14.7109375" style="51" bestFit="1" customWidth="1"/>
    <col min="14213" max="14373" width="11.42578125" style="51"/>
    <col min="14374" max="14374" width="11.42578125" style="51" customWidth="1"/>
    <col min="14375" max="14375" width="14.42578125" style="51" bestFit="1" customWidth="1"/>
    <col min="14376" max="14376" width="11.42578125" style="51" customWidth="1"/>
    <col min="14377" max="14377" width="34.140625" style="51" customWidth="1"/>
    <col min="14378" max="14378" width="56.28515625" style="51" customWidth="1"/>
    <col min="14379" max="14379" width="18.7109375" style="51" customWidth="1"/>
    <col min="14380" max="14403" width="11.42578125" style="51" customWidth="1"/>
    <col min="14404" max="14407" width="15.7109375" style="51" customWidth="1"/>
    <col min="14408" max="14408" width="20.5703125" style="51" customWidth="1"/>
    <col min="14409" max="14410" width="19.85546875" style="51" customWidth="1"/>
    <col min="14411" max="14411" width="20" style="51" customWidth="1"/>
    <col min="14412" max="14412" width="20.42578125" style="51" customWidth="1"/>
    <col min="14413" max="14413" width="15.7109375" style="51" customWidth="1"/>
    <col min="14414" max="14414" width="19.28515625" style="51" bestFit="1" customWidth="1"/>
    <col min="14415" max="14415" width="18.85546875" style="51" bestFit="1" customWidth="1"/>
    <col min="14416" max="14463" width="15.7109375" style="51" customWidth="1"/>
    <col min="14464" max="14464" width="29" style="51" customWidth="1"/>
    <col min="14465" max="14465" width="23.85546875" style="51" customWidth="1"/>
    <col min="14466" max="14466" width="19.140625" style="51" customWidth="1"/>
    <col min="14467" max="14467" width="23.7109375" style="51" customWidth="1"/>
    <col min="14468" max="14468" width="14.7109375" style="51" bestFit="1" customWidth="1"/>
    <col min="14469" max="14629" width="11.42578125" style="51"/>
    <col min="14630" max="14630" width="11.42578125" style="51" customWidth="1"/>
    <col min="14631" max="14631" width="14.42578125" style="51" bestFit="1" customWidth="1"/>
    <col min="14632" max="14632" width="11.42578125" style="51" customWidth="1"/>
    <col min="14633" max="14633" width="34.140625" style="51" customWidth="1"/>
    <col min="14634" max="14634" width="56.28515625" style="51" customWidth="1"/>
    <col min="14635" max="14635" width="18.7109375" style="51" customWidth="1"/>
    <col min="14636" max="14659" width="11.42578125" style="51" customWidth="1"/>
    <col min="14660" max="14663" width="15.7109375" style="51" customWidth="1"/>
    <col min="14664" max="14664" width="20.5703125" style="51" customWidth="1"/>
    <col min="14665" max="14666" width="19.85546875" style="51" customWidth="1"/>
    <col min="14667" max="14667" width="20" style="51" customWidth="1"/>
    <col min="14668" max="14668" width="20.42578125" style="51" customWidth="1"/>
    <col min="14669" max="14669" width="15.7109375" style="51" customWidth="1"/>
    <col min="14670" max="14670" width="19.28515625" style="51" bestFit="1" customWidth="1"/>
    <col min="14671" max="14671" width="18.85546875" style="51" bestFit="1" customWidth="1"/>
    <col min="14672" max="14719" width="15.7109375" style="51" customWidth="1"/>
    <col min="14720" max="14720" width="29" style="51" customWidth="1"/>
    <col min="14721" max="14721" width="23.85546875" style="51" customWidth="1"/>
    <col min="14722" max="14722" width="19.140625" style="51" customWidth="1"/>
    <col min="14723" max="14723" width="23.7109375" style="51" customWidth="1"/>
    <col min="14724" max="14724" width="14.7109375" style="51" bestFit="1" customWidth="1"/>
    <col min="14725" max="14885" width="11.42578125" style="51"/>
    <col min="14886" max="14886" width="11.42578125" style="51" customWidth="1"/>
    <col min="14887" max="14887" width="14.42578125" style="51" bestFit="1" customWidth="1"/>
    <col min="14888" max="14888" width="11.42578125" style="51" customWidth="1"/>
    <col min="14889" max="14889" width="34.140625" style="51" customWidth="1"/>
    <col min="14890" max="14890" width="56.28515625" style="51" customWidth="1"/>
    <col min="14891" max="14891" width="18.7109375" style="51" customWidth="1"/>
    <col min="14892" max="14915" width="11.42578125" style="51" customWidth="1"/>
    <col min="14916" max="14919" width="15.7109375" style="51" customWidth="1"/>
    <col min="14920" max="14920" width="20.5703125" style="51" customWidth="1"/>
    <col min="14921" max="14922" width="19.85546875" style="51" customWidth="1"/>
    <col min="14923" max="14923" width="20" style="51" customWidth="1"/>
    <col min="14924" max="14924" width="20.42578125" style="51" customWidth="1"/>
    <col min="14925" max="14925" width="15.7109375" style="51" customWidth="1"/>
    <col min="14926" max="14926" width="19.28515625" style="51" bestFit="1" customWidth="1"/>
    <col min="14927" max="14927" width="18.85546875" style="51" bestFit="1" customWidth="1"/>
    <col min="14928" max="14975" width="15.7109375" style="51" customWidth="1"/>
    <col min="14976" max="14976" width="29" style="51" customWidth="1"/>
    <col min="14977" max="14977" width="23.85546875" style="51" customWidth="1"/>
    <col min="14978" max="14978" width="19.140625" style="51" customWidth="1"/>
    <col min="14979" max="14979" width="23.7109375" style="51" customWidth="1"/>
    <col min="14980" max="14980" width="14.7109375" style="51" bestFit="1" customWidth="1"/>
    <col min="14981" max="15141" width="11.42578125" style="51"/>
    <col min="15142" max="15142" width="11.42578125" style="51" customWidth="1"/>
    <col min="15143" max="15143" width="14.42578125" style="51" bestFit="1" customWidth="1"/>
    <col min="15144" max="15144" width="11.42578125" style="51" customWidth="1"/>
    <col min="15145" max="15145" width="34.140625" style="51" customWidth="1"/>
    <col min="15146" max="15146" width="56.28515625" style="51" customWidth="1"/>
    <col min="15147" max="15147" width="18.7109375" style="51" customWidth="1"/>
    <col min="15148" max="15171" width="11.42578125" style="51" customWidth="1"/>
    <col min="15172" max="15175" width="15.7109375" style="51" customWidth="1"/>
    <col min="15176" max="15176" width="20.5703125" style="51" customWidth="1"/>
    <col min="15177" max="15178" width="19.85546875" style="51" customWidth="1"/>
    <col min="15179" max="15179" width="20" style="51" customWidth="1"/>
    <col min="15180" max="15180" width="20.42578125" style="51" customWidth="1"/>
    <col min="15181" max="15181" width="15.7109375" style="51" customWidth="1"/>
    <col min="15182" max="15182" width="19.28515625" style="51" bestFit="1" customWidth="1"/>
    <col min="15183" max="15183" width="18.85546875" style="51" bestFit="1" customWidth="1"/>
    <col min="15184" max="15231" width="15.7109375" style="51" customWidth="1"/>
    <col min="15232" max="15232" width="29" style="51" customWidth="1"/>
    <col min="15233" max="15233" width="23.85546875" style="51" customWidth="1"/>
    <col min="15234" max="15234" width="19.140625" style="51" customWidth="1"/>
    <col min="15235" max="15235" width="23.7109375" style="51" customWidth="1"/>
    <col min="15236" max="15236" width="14.7109375" style="51" bestFit="1" customWidth="1"/>
    <col min="15237" max="15397" width="11.42578125" style="51"/>
    <col min="15398" max="15398" width="11.42578125" style="51" customWidth="1"/>
    <col min="15399" max="15399" width="14.42578125" style="51" bestFit="1" customWidth="1"/>
    <col min="15400" max="15400" width="11.42578125" style="51" customWidth="1"/>
    <col min="15401" max="15401" width="34.140625" style="51" customWidth="1"/>
    <col min="15402" max="15402" width="56.28515625" style="51" customWidth="1"/>
    <col min="15403" max="15403" width="18.7109375" style="51" customWidth="1"/>
    <col min="15404" max="15427" width="11.42578125" style="51" customWidth="1"/>
    <col min="15428" max="15431" width="15.7109375" style="51" customWidth="1"/>
    <col min="15432" max="15432" width="20.5703125" style="51" customWidth="1"/>
    <col min="15433" max="15434" width="19.85546875" style="51" customWidth="1"/>
    <col min="15435" max="15435" width="20" style="51" customWidth="1"/>
    <col min="15436" max="15436" width="20.42578125" style="51" customWidth="1"/>
    <col min="15437" max="15437" width="15.7109375" style="51" customWidth="1"/>
    <col min="15438" max="15438" width="19.28515625" style="51" bestFit="1" customWidth="1"/>
    <col min="15439" max="15439" width="18.85546875" style="51" bestFit="1" customWidth="1"/>
    <col min="15440" max="15487" width="15.7109375" style="51" customWidth="1"/>
    <col min="15488" max="15488" width="29" style="51" customWidth="1"/>
    <col min="15489" max="15489" width="23.85546875" style="51" customWidth="1"/>
    <col min="15490" max="15490" width="19.140625" style="51" customWidth="1"/>
    <col min="15491" max="15491" width="23.7109375" style="51" customWidth="1"/>
    <col min="15492" max="15492" width="14.7109375" style="51" bestFit="1" customWidth="1"/>
    <col min="15493" max="15653" width="11.42578125" style="51"/>
    <col min="15654" max="15654" width="11.42578125" style="51" customWidth="1"/>
    <col min="15655" max="15655" width="14.42578125" style="51" bestFit="1" customWidth="1"/>
    <col min="15656" max="15656" width="11.42578125" style="51" customWidth="1"/>
    <col min="15657" max="15657" width="34.140625" style="51" customWidth="1"/>
    <col min="15658" max="15658" width="56.28515625" style="51" customWidth="1"/>
    <col min="15659" max="15659" width="18.7109375" style="51" customWidth="1"/>
    <col min="15660" max="15683" width="11.42578125" style="51" customWidth="1"/>
    <col min="15684" max="15687" width="15.7109375" style="51" customWidth="1"/>
    <col min="15688" max="15688" width="20.5703125" style="51" customWidth="1"/>
    <col min="15689" max="15690" width="19.85546875" style="51" customWidth="1"/>
    <col min="15691" max="15691" width="20" style="51" customWidth="1"/>
    <col min="15692" max="15692" width="20.42578125" style="51" customWidth="1"/>
    <col min="15693" max="15693" width="15.7109375" style="51" customWidth="1"/>
    <col min="15694" max="15694" width="19.28515625" style="51" bestFit="1" customWidth="1"/>
    <col min="15695" max="15695" width="18.85546875" style="51" bestFit="1" customWidth="1"/>
    <col min="15696" max="15743" width="15.7109375" style="51" customWidth="1"/>
    <col min="15744" max="15744" width="29" style="51" customWidth="1"/>
    <col min="15745" max="15745" width="23.85546875" style="51" customWidth="1"/>
    <col min="15746" max="15746" width="19.140625" style="51" customWidth="1"/>
    <col min="15747" max="15747" width="23.7109375" style="51" customWidth="1"/>
    <col min="15748" max="15748" width="14.7109375" style="51" bestFit="1" customWidth="1"/>
    <col min="15749" max="15909" width="11.42578125" style="51"/>
    <col min="15910" max="15910" width="11.42578125" style="51" customWidth="1"/>
    <col min="15911" max="15911" width="14.42578125" style="51" bestFit="1" customWidth="1"/>
    <col min="15912" max="15912" width="11.42578125" style="51" customWidth="1"/>
    <col min="15913" max="15913" width="34.140625" style="51" customWidth="1"/>
    <col min="15914" max="15914" width="56.28515625" style="51" customWidth="1"/>
    <col min="15915" max="15915" width="18.7109375" style="51" customWidth="1"/>
    <col min="15916" max="15939" width="11.42578125" style="51" customWidth="1"/>
    <col min="15940" max="15943" width="15.7109375" style="51" customWidth="1"/>
    <col min="15944" max="15944" width="20.5703125" style="51" customWidth="1"/>
    <col min="15945" max="15946" width="19.85546875" style="51" customWidth="1"/>
    <col min="15947" max="15947" width="20" style="51" customWidth="1"/>
    <col min="15948" max="15948" width="20.42578125" style="51" customWidth="1"/>
    <col min="15949" max="15949" width="15.7109375" style="51" customWidth="1"/>
    <col min="15950" max="15950" width="19.28515625" style="51" bestFit="1" customWidth="1"/>
    <col min="15951" max="15951" width="18.85546875" style="51" bestFit="1" customWidth="1"/>
    <col min="15952" max="15999" width="15.7109375" style="51" customWidth="1"/>
    <col min="16000" max="16000" width="29" style="51" customWidth="1"/>
    <col min="16001" max="16001" width="23.85546875" style="51" customWidth="1"/>
    <col min="16002" max="16002" width="19.140625" style="51" customWidth="1"/>
    <col min="16003" max="16003" width="23.7109375" style="51" customWidth="1"/>
    <col min="16004" max="16004" width="14.7109375" style="51" bestFit="1" customWidth="1"/>
    <col min="16005" max="16165" width="11.42578125" style="51"/>
    <col min="16166" max="16166" width="11.42578125" style="51" customWidth="1"/>
    <col min="16167" max="16167" width="14.42578125" style="51" bestFit="1" customWidth="1"/>
    <col min="16168" max="16168" width="11.42578125" style="51" customWidth="1"/>
    <col min="16169" max="16169" width="34.140625" style="51" customWidth="1"/>
    <col min="16170" max="16170" width="56.28515625" style="51" customWidth="1"/>
    <col min="16171" max="16171" width="18.7109375" style="51" customWidth="1"/>
    <col min="16172" max="16195" width="11.42578125" style="51" customWidth="1"/>
    <col min="16196" max="16199" width="15.7109375" style="51" customWidth="1"/>
    <col min="16200" max="16200" width="20.5703125" style="51" customWidth="1"/>
    <col min="16201" max="16202" width="19.85546875" style="51" customWidth="1"/>
    <col min="16203" max="16203" width="20" style="51" customWidth="1"/>
    <col min="16204" max="16204" width="20.42578125" style="51" customWidth="1"/>
    <col min="16205" max="16205" width="15.7109375" style="51" customWidth="1"/>
    <col min="16206" max="16206" width="19.28515625" style="51" bestFit="1" customWidth="1"/>
    <col min="16207" max="16207" width="18.85546875" style="51" bestFit="1" customWidth="1"/>
    <col min="16208" max="16255" width="15.7109375" style="51" customWidth="1"/>
    <col min="16256" max="16256" width="29" style="51" customWidth="1"/>
    <col min="16257" max="16257" width="23.85546875" style="51" customWidth="1"/>
    <col min="16258" max="16258" width="19.140625" style="51" customWidth="1"/>
    <col min="16259" max="16259" width="23.7109375" style="51" customWidth="1"/>
    <col min="16260" max="16260" width="14.7109375" style="51" bestFit="1" customWidth="1"/>
    <col min="16261" max="16384" width="11.42578125" style="51"/>
  </cols>
  <sheetData>
    <row r="1" spans="1:148" s="32" customFormat="1" x14ac:dyDescent="0.2">
      <c r="E1" s="323" t="s">
        <v>197</v>
      </c>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c r="AO1" s="1053"/>
      <c r="AP1" s="1053"/>
      <c r="AQ1" s="1053"/>
      <c r="AR1" s="1053"/>
      <c r="AS1" s="1053"/>
      <c r="AT1" s="1053"/>
      <c r="AU1" s="1053"/>
      <c r="AV1" s="1053"/>
      <c r="AW1" s="1053"/>
      <c r="AX1" s="1053"/>
      <c r="AY1" s="1053"/>
      <c r="AZ1" s="1053"/>
      <c r="BA1" s="1053"/>
      <c r="BB1" s="1053"/>
      <c r="BC1" s="1053"/>
      <c r="BD1" s="1053"/>
      <c r="BE1" s="1053"/>
      <c r="BF1" s="1053"/>
      <c r="BG1" s="1053"/>
      <c r="BH1" s="1053"/>
      <c r="BI1" s="1053"/>
      <c r="BJ1" s="1053"/>
      <c r="BK1" s="1053"/>
      <c r="BL1" s="1053"/>
      <c r="BM1" s="1053"/>
      <c r="BN1" s="1053"/>
      <c r="BO1" s="1053"/>
      <c r="BP1" s="1053"/>
      <c r="BQ1" s="1053"/>
      <c r="BR1" s="1053"/>
      <c r="BS1" s="1053"/>
      <c r="BT1" s="1053"/>
      <c r="BU1" s="1053"/>
      <c r="BV1" s="1053"/>
      <c r="BW1" s="1053"/>
      <c r="BX1" s="1053"/>
      <c r="BY1" s="1053"/>
      <c r="BZ1" s="1053"/>
      <c r="CA1" s="1053"/>
      <c r="CB1" s="1053"/>
      <c r="CC1" s="1053"/>
      <c r="CD1" s="1053"/>
      <c r="CE1" s="1053"/>
      <c r="CF1" s="1053"/>
      <c r="CG1" s="1053"/>
      <c r="CH1" s="1053"/>
      <c r="CI1" s="1053"/>
      <c r="CJ1" s="1053"/>
      <c r="CK1" s="1053"/>
      <c r="CL1" s="1053"/>
      <c r="CM1" s="1053"/>
      <c r="CN1" s="1053"/>
      <c r="CO1" s="1053"/>
      <c r="CP1" s="1053"/>
      <c r="CQ1" s="1053"/>
      <c r="CR1" s="1053"/>
      <c r="CS1" s="1053"/>
      <c r="CT1" s="1053"/>
      <c r="CU1" s="1053"/>
      <c r="CV1" s="1053"/>
      <c r="CW1" s="1053"/>
      <c r="CX1" s="1053"/>
      <c r="CY1" s="1053"/>
      <c r="CZ1" s="1053"/>
      <c r="DA1" s="1053"/>
      <c r="DB1" s="1053"/>
      <c r="DC1" s="1053"/>
      <c r="DD1" s="1053"/>
      <c r="DE1" s="1053"/>
      <c r="DF1" s="1053"/>
      <c r="DG1" s="1053"/>
      <c r="DH1" s="1053"/>
      <c r="DI1" s="1053"/>
      <c r="DJ1" s="1053"/>
      <c r="DK1" s="1053"/>
      <c r="DL1" s="1053"/>
      <c r="DM1" s="1053"/>
      <c r="DN1" s="1053"/>
      <c r="DO1" s="1053"/>
      <c r="DP1" s="1053"/>
      <c r="DQ1" s="1053"/>
      <c r="DR1" s="1053"/>
      <c r="DS1" s="1053"/>
      <c r="DT1" s="1053"/>
      <c r="DU1" s="1053"/>
      <c r="DV1" s="1053"/>
      <c r="DW1" s="1053"/>
      <c r="DZ1" s="33"/>
      <c r="EA1" s="238"/>
      <c r="EB1" s="238"/>
      <c r="EC1" s="238"/>
      <c r="ER1" s="486"/>
    </row>
    <row r="2" spans="1:148" s="32" customFormat="1" x14ac:dyDescent="0.2">
      <c r="E2" s="324">
        <v>1000000</v>
      </c>
      <c r="F2" s="325"/>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053"/>
      <c r="AR2" s="1053"/>
      <c r="AS2" s="1053"/>
      <c r="AT2" s="1053"/>
      <c r="AU2" s="1053"/>
      <c r="AV2" s="1053"/>
      <c r="AW2" s="1053"/>
      <c r="AX2" s="1053"/>
      <c r="AY2" s="1053"/>
      <c r="AZ2" s="1053"/>
      <c r="BA2" s="1053"/>
      <c r="BB2" s="1053"/>
      <c r="BC2" s="1053"/>
      <c r="BD2" s="1053"/>
      <c r="BE2" s="1053"/>
      <c r="BF2" s="1053"/>
      <c r="BG2" s="1053"/>
      <c r="BH2" s="1053"/>
      <c r="BI2" s="1053"/>
      <c r="BJ2" s="1053"/>
      <c r="BK2" s="1053"/>
      <c r="BL2" s="1053"/>
      <c r="BM2" s="1053"/>
      <c r="BN2" s="1053"/>
      <c r="BO2" s="1053"/>
      <c r="BP2" s="1053"/>
      <c r="BQ2" s="1053"/>
      <c r="BR2" s="1053"/>
      <c r="BS2" s="1053"/>
      <c r="BT2" s="1053"/>
      <c r="BU2" s="1053"/>
      <c r="BV2" s="1053"/>
      <c r="BW2" s="1053"/>
      <c r="BX2" s="1053"/>
      <c r="BY2" s="1053"/>
      <c r="BZ2" s="1053"/>
      <c r="CA2" s="1053"/>
      <c r="CB2" s="1053"/>
      <c r="CC2" s="1053"/>
      <c r="CD2" s="1053"/>
      <c r="CE2" s="1053"/>
      <c r="CF2" s="1053"/>
      <c r="CG2" s="1053"/>
      <c r="CH2" s="1053"/>
      <c r="CI2" s="1053"/>
      <c r="CJ2" s="1053"/>
      <c r="CK2" s="1053"/>
      <c r="CL2" s="1053"/>
      <c r="CM2" s="1053"/>
      <c r="CN2" s="1053"/>
      <c r="CO2" s="1053"/>
      <c r="CP2" s="1053"/>
      <c r="CQ2" s="1053"/>
      <c r="CR2" s="1053"/>
      <c r="CS2" s="1053"/>
      <c r="CT2" s="1053"/>
      <c r="CU2" s="1053"/>
      <c r="CV2" s="1053"/>
      <c r="CW2" s="1053"/>
      <c r="CX2" s="1053"/>
      <c r="CY2" s="1053"/>
      <c r="CZ2" s="1053"/>
      <c r="DA2" s="1053"/>
      <c r="DB2" s="1053"/>
      <c r="DC2" s="1053"/>
      <c r="DD2" s="1053"/>
      <c r="DE2" s="1053"/>
      <c r="DF2" s="1053"/>
      <c r="DG2" s="1053"/>
      <c r="DH2" s="1053"/>
      <c r="DI2" s="1053"/>
      <c r="DJ2" s="1053"/>
      <c r="DK2" s="1053"/>
      <c r="DL2" s="1053"/>
      <c r="DM2" s="1053"/>
      <c r="DN2" s="1053"/>
      <c r="DO2" s="1053"/>
      <c r="DP2" s="1053"/>
      <c r="DQ2" s="1053"/>
      <c r="DR2" s="1053"/>
      <c r="DS2" s="1053"/>
      <c r="DT2" s="1053"/>
      <c r="DU2" s="1053"/>
      <c r="DV2" s="1053"/>
      <c r="DW2" s="1053"/>
      <c r="DZ2" s="33"/>
      <c r="EA2" s="238"/>
      <c r="EB2" s="238"/>
      <c r="EC2" s="238"/>
      <c r="ER2" s="486"/>
    </row>
    <row r="3" spans="1:148" s="32" customFormat="1" ht="45" x14ac:dyDescent="0.6">
      <c r="A3" s="318"/>
      <c r="E3" s="1054" t="s">
        <v>198</v>
      </c>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Z3" s="33"/>
      <c r="EA3" s="238"/>
      <c r="EB3" s="238"/>
      <c r="EC3" s="238"/>
      <c r="ER3" s="486"/>
    </row>
    <row r="4" spans="1:148" s="32" customFormat="1" x14ac:dyDescent="0.2">
      <c r="A4" s="1128">
        <v>416.5521258</v>
      </c>
      <c r="E4" s="34" t="s">
        <v>199</v>
      </c>
      <c r="F4" s="32" t="s">
        <v>200</v>
      </c>
      <c r="G4" s="35">
        <v>2010</v>
      </c>
      <c r="H4" s="35">
        <f t="shared" ref="H4:BS4" si="0">+YEAR(H5)</f>
        <v>2010</v>
      </c>
      <c r="I4" s="35">
        <f t="shared" si="0"/>
        <v>2010</v>
      </c>
      <c r="J4" s="35">
        <f t="shared" si="0"/>
        <v>2010</v>
      </c>
      <c r="K4" s="35">
        <f t="shared" si="0"/>
        <v>2010</v>
      </c>
      <c r="L4" s="35">
        <f t="shared" si="0"/>
        <v>2010</v>
      </c>
      <c r="M4" s="35">
        <f t="shared" si="0"/>
        <v>2010</v>
      </c>
      <c r="N4" s="35">
        <f t="shared" si="0"/>
        <v>2010</v>
      </c>
      <c r="O4" s="35">
        <f t="shared" si="0"/>
        <v>2010</v>
      </c>
      <c r="P4" s="35">
        <f t="shared" si="0"/>
        <v>2010</v>
      </c>
      <c r="Q4" s="35">
        <f t="shared" si="0"/>
        <v>2010</v>
      </c>
      <c r="R4" s="35">
        <f t="shared" si="0"/>
        <v>2010</v>
      </c>
      <c r="S4" s="35">
        <f t="shared" si="0"/>
        <v>2011</v>
      </c>
      <c r="T4" s="35">
        <f t="shared" si="0"/>
        <v>2011</v>
      </c>
      <c r="U4" s="35">
        <f t="shared" si="0"/>
        <v>2011</v>
      </c>
      <c r="V4" s="35">
        <f t="shared" si="0"/>
        <v>2011</v>
      </c>
      <c r="W4" s="35">
        <f t="shared" si="0"/>
        <v>2011</v>
      </c>
      <c r="X4" s="35">
        <f t="shared" si="0"/>
        <v>2011</v>
      </c>
      <c r="Y4" s="35">
        <f t="shared" si="0"/>
        <v>2011</v>
      </c>
      <c r="Z4" s="35">
        <f t="shared" si="0"/>
        <v>2011</v>
      </c>
      <c r="AA4" s="35">
        <f t="shared" si="0"/>
        <v>2011</v>
      </c>
      <c r="AB4" s="35">
        <f t="shared" si="0"/>
        <v>2011</v>
      </c>
      <c r="AC4" s="35">
        <f t="shared" si="0"/>
        <v>2011</v>
      </c>
      <c r="AD4" s="35">
        <f t="shared" si="0"/>
        <v>2011</v>
      </c>
      <c r="AE4" s="35">
        <f t="shared" si="0"/>
        <v>2012</v>
      </c>
      <c r="AF4" s="35">
        <f t="shared" si="0"/>
        <v>2012</v>
      </c>
      <c r="AG4" s="35">
        <f t="shared" si="0"/>
        <v>2012</v>
      </c>
      <c r="AH4" s="35">
        <f t="shared" si="0"/>
        <v>2012</v>
      </c>
      <c r="AI4" s="35">
        <f t="shared" si="0"/>
        <v>2012</v>
      </c>
      <c r="AJ4" s="35">
        <f t="shared" si="0"/>
        <v>2012</v>
      </c>
      <c r="AK4" s="35">
        <f t="shared" si="0"/>
        <v>2012</v>
      </c>
      <c r="AL4" s="35">
        <f t="shared" si="0"/>
        <v>2012</v>
      </c>
      <c r="AM4" s="35">
        <f t="shared" si="0"/>
        <v>2012</v>
      </c>
      <c r="AN4" s="35">
        <f t="shared" si="0"/>
        <v>2012</v>
      </c>
      <c r="AO4" s="35">
        <f t="shared" si="0"/>
        <v>2012</v>
      </c>
      <c r="AP4" s="35">
        <f t="shared" si="0"/>
        <v>2012</v>
      </c>
      <c r="AQ4" s="35">
        <f t="shared" si="0"/>
        <v>2013</v>
      </c>
      <c r="AR4" s="35">
        <f t="shared" si="0"/>
        <v>2013</v>
      </c>
      <c r="AS4" s="35">
        <f t="shared" si="0"/>
        <v>2013</v>
      </c>
      <c r="AT4" s="35">
        <f t="shared" si="0"/>
        <v>2013</v>
      </c>
      <c r="AU4" s="35">
        <f t="shared" si="0"/>
        <v>2013</v>
      </c>
      <c r="AV4" s="35">
        <f t="shared" si="0"/>
        <v>2013</v>
      </c>
      <c r="AW4" s="35">
        <f t="shared" si="0"/>
        <v>2013</v>
      </c>
      <c r="AX4" s="35">
        <f t="shared" si="0"/>
        <v>2013</v>
      </c>
      <c r="AY4" s="35">
        <f t="shared" si="0"/>
        <v>2013</v>
      </c>
      <c r="AZ4" s="35">
        <f t="shared" si="0"/>
        <v>2013</v>
      </c>
      <c r="BA4" s="35">
        <f t="shared" si="0"/>
        <v>2013</v>
      </c>
      <c r="BB4" s="35">
        <f t="shared" si="0"/>
        <v>2013</v>
      </c>
      <c r="BC4" s="35">
        <f t="shared" si="0"/>
        <v>2014</v>
      </c>
      <c r="BD4" s="35">
        <f t="shared" si="0"/>
        <v>2014</v>
      </c>
      <c r="BE4" s="35">
        <f t="shared" si="0"/>
        <v>2014</v>
      </c>
      <c r="BF4" s="35">
        <f t="shared" si="0"/>
        <v>2014</v>
      </c>
      <c r="BG4" s="35">
        <f t="shared" si="0"/>
        <v>2014</v>
      </c>
      <c r="BH4" s="35">
        <f t="shared" si="0"/>
        <v>2014</v>
      </c>
      <c r="BI4" s="35">
        <f t="shared" si="0"/>
        <v>2014</v>
      </c>
      <c r="BJ4" s="35">
        <f t="shared" si="0"/>
        <v>2014</v>
      </c>
      <c r="BK4" s="35">
        <f t="shared" si="0"/>
        <v>2014</v>
      </c>
      <c r="BL4" s="35">
        <f t="shared" si="0"/>
        <v>2014</v>
      </c>
      <c r="BM4" s="35">
        <f t="shared" si="0"/>
        <v>2014</v>
      </c>
      <c r="BN4" s="35">
        <f t="shared" si="0"/>
        <v>2014</v>
      </c>
      <c r="BO4" s="35">
        <f t="shared" si="0"/>
        <v>2015</v>
      </c>
      <c r="BP4" s="35">
        <f t="shared" si="0"/>
        <v>2015</v>
      </c>
      <c r="BQ4" s="35">
        <f t="shared" si="0"/>
        <v>2015</v>
      </c>
      <c r="BR4" s="35">
        <f t="shared" si="0"/>
        <v>2015</v>
      </c>
      <c r="BS4" s="35">
        <f t="shared" si="0"/>
        <v>2015</v>
      </c>
      <c r="BT4" s="35">
        <f t="shared" ref="BT4:BZ4" si="1">+YEAR(BT5)</f>
        <v>2015</v>
      </c>
      <c r="BU4" s="35">
        <f t="shared" si="1"/>
        <v>2015</v>
      </c>
      <c r="BV4" s="35">
        <f t="shared" si="1"/>
        <v>2015</v>
      </c>
      <c r="BW4" s="35">
        <f t="shared" si="1"/>
        <v>2015</v>
      </c>
      <c r="BX4" s="35">
        <f t="shared" si="1"/>
        <v>2015</v>
      </c>
      <c r="BY4" s="35">
        <f t="shared" si="1"/>
        <v>2015</v>
      </c>
      <c r="BZ4" s="35">
        <f t="shared" si="1"/>
        <v>2015</v>
      </c>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Z4" s="33"/>
      <c r="EA4" s="238"/>
      <c r="EB4" s="238"/>
      <c r="EC4" s="238"/>
      <c r="ER4" s="486"/>
    </row>
    <row r="5" spans="1:148" s="32" customFormat="1" x14ac:dyDescent="0.2">
      <c r="A5" s="533"/>
      <c r="E5" s="34"/>
      <c r="F5" s="34" t="s">
        <v>201</v>
      </c>
      <c r="G5" s="36">
        <v>40179</v>
      </c>
      <c r="H5" s="36">
        <v>40210</v>
      </c>
      <c r="I5" s="36">
        <v>40238</v>
      </c>
      <c r="J5" s="36">
        <v>40269</v>
      </c>
      <c r="K5" s="36">
        <v>40299</v>
      </c>
      <c r="L5" s="36">
        <v>40330</v>
      </c>
      <c r="M5" s="36">
        <v>40360</v>
      </c>
      <c r="N5" s="36">
        <v>40391</v>
      </c>
      <c r="O5" s="36">
        <v>40422</v>
      </c>
      <c r="P5" s="36">
        <v>40452</v>
      </c>
      <c r="Q5" s="36">
        <v>40483</v>
      </c>
      <c r="R5" s="36">
        <v>40513</v>
      </c>
      <c r="S5" s="36">
        <v>40544</v>
      </c>
      <c r="T5" s="36">
        <v>40575</v>
      </c>
      <c r="U5" s="36">
        <v>40603</v>
      </c>
      <c r="V5" s="36">
        <v>40634</v>
      </c>
      <c r="W5" s="36">
        <v>40664</v>
      </c>
      <c r="X5" s="36">
        <v>40695</v>
      </c>
      <c r="Y5" s="36">
        <v>40725</v>
      </c>
      <c r="Z5" s="36">
        <v>40756</v>
      </c>
      <c r="AA5" s="36">
        <v>40787</v>
      </c>
      <c r="AB5" s="36">
        <v>40817</v>
      </c>
      <c r="AC5" s="36">
        <v>40848</v>
      </c>
      <c r="AD5" s="36">
        <v>40878</v>
      </c>
      <c r="AE5" s="36">
        <v>40909</v>
      </c>
      <c r="AF5" s="36">
        <v>40940</v>
      </c>
      <c r="AG5" s="36">
        <v>40969</v>
      </c>
      <c r="AH5" s="36">
        <v>41000</v>
      </c>
      <c r="AI5" s="36">
        <v>41030</v>
      </c>
      <c r="AJ5" s="36">
        <v>41061</v>
      </c>
      <c r="AK5" s="36">
        <v>41091</v>
      </c>
      <c r="AL5" s="36">
        <v>41122</v>
      </c>
      <c r="AM5" s="36">
        <v>41153</v>
      </c>
      <c r="AN5" s="36">
        <v>41183</v>
      </c>
      <c r="AO5" s="36">
        <v>41214</v>
      </c>
      <c r="AP5" s="36">
        <v>41244</v>
      </c>
      <c r="AQ5" s="36">
        <v>41275</v>
      </c>
      <c r="AR5" s="36">
        <v>41306</v>
      </c>
      <c r="AS5" s="36">
        <v>41334</v>
      </c>
      <c r="AT5" s="36">
        <v>41365</v>
      </c>
      <c r="AU5" s="36">
        <v>41395</v>
      </c>
      <c r="AV5" s="36">
        <v>41426</v>
      </c>
      <c r="AW5" s="36">
        <v>41456</v>
      </c>
      <c r="AX5" s="36">
        <v>41487</v>
      </c>
      <c r="AY5" s="36">
        <v>41518</v>
      </c>
      <c r="AZ5" s="36">
        <v>41548</v>
      </c>
      <c r="BA5" s="36">
        <v>41579</v>
      </c>
      <c r="BB5" s="36">
        <v>41609</v>
      </c>
      <c r="BC5" s="36">
        <v>41640</v>
      </c>
      <c r="BD5" s="36">
        <v>41671</v>
      </c>
      <c r="BE5" s="36">
        <v>41699</v>
      </c>
      <c r="BF5" s="36">
        <v>41730</v>
      </c>
      <c r="BG5" s="36">
        <v>41760</v>
      </c>
      <c r="BH5" s="36">
        <v>41791</v>
      </c>
      <c r="BI5" s="36">
        <v>41821</v>
      </c>
      <c r="BJ5" s="36">
        <v>41852</v>
      </c>
      <c r="BK5" s="36">
        <v>41883</v>
      </c>
      <c r="BL5" s="36">
        <v>41913</v>
      </c>
      <c r="BM5" s="36">
        <v>41944</v>
      </c>
      <c r="BN5" s="36">
        <v>41974</v>
      </c>
      <c r="BO5" s="36">
        <v>42005</v>
      </c>
      <c r="BP5" s="36">
        <v>42036</v>
      </c>
      <c r="BQ5" s="36">
        <v>42064</v>
      </c>
      <c r="BR5" s="36">
        <v>42095</v>
      </c>
      <c r="BS5" s="36">
        <v>42125</v>
      </c>
      <c r="BT5" s="36">
        <v>42156</v>
      </c>
      <c r="BU5" s="36">
        <v>42186</v>
      </c>
      <c r="BV5" s="36">
        <v>42217</v>
      </c>
      <c r="BW5" s="36">
        <v>42248</v>
      </c>
      <c r="BX5" s="36">
        <v>42278</v>
      </c>
      <c r="BY5" s="36">
        <v>42309</v>
      </c>
      <c r="BZ5" s="36">
        <v>42339</v>
      </c>
      <c r="CA5" s="36">
        <v>42370</v>
      </c>
      <c r="CB5" s="36">
        <v>42401</v>
      </c>
      <c r="CC5" s="36">
        <v>42430</v>
      </c>
      <c r="CD5" s="36">
        <v>42461</v>
      </c>
      <c r="CE5" s="36">
        <v>42491</v>
      </c>
      <c r="CF5" s="36">
        <v>42522</v>
      </c>
      <c r="CG5" s="36">
        <v>42552</v>
      </c>
      <c r="CH5" s="36">
        <v>42583</v>
      </c>
      <c r="CI5" s="36">
        <v>42614</v>
      </c>
      <c r="CJ5" s="36">
        <v>42644</v>
      </c>
      <c r="CK5" s="36">
        <v>42675</v>
      </c>
      <c r="CL5" s="36">
        <v>42705</v>
      </c>
      <c r="CM5" s="36">
        <v>42736</v>
      </c>
      <c r="CN5" s="36">
        <v>42767</v>
      </c>
      <c r="CO5" s="36">
        <v>42795</v>
      </c>
      <c r="CP5" s="36">
        <v>42826</v>
      </c>
      <c r="CQ5" s="36">
        <v>42856</v>
      </c>
      <c r="CR5" s="36">
        <v>42887</v>
      </c>
      <c r="CS5" s="36">
        <v>42917</v>
      </c>
      <c r="CT5" s="36">
        <v>42948</v>
      </c>
      <c r="CU5" s="36">
        <v>42979</v>
      </c>
      <c r="CV5" s="36">
        <v>43009</v>
      </c>
      <c r="CW5" s="36">
        <v>43040</v>
      </c>
      <c r="CX5" s="36">
        <v>43070</v>
      </c>
      <c r="CY5" s="36">
        <v>43101</v>
      </c>
      <c r="CZ5" s="36">
        <v>43132</v>
      </c>
      <c r="DA5" s="36">
        <v>43160</v>
      </c>
      <c r="DB5" s="36">
        <v>43191</v>
      </c>
      <c r="DC5" s="36">
        <v>43221</v>
      </c>
      <c r="DD5" s="36">
        <v>43252</v>
      </c>
      <c r="DE5" s="36">
        <v>43282</v>
      </c>
      <c r="DF5" s="36">
        <v>43313</v>
      </c>
      <c r="DG5" s="36">
        <v>43344</v>
      </c>
      <c r="DH5" s="36">
        <v>43374</v>
      </c>
      <c r="DI5" s="36">
        <v>43405</v>
      </c>
      <c r="DJ5" s="36">
        <v>43435</v>
      </c>
      <c r="DK5" s="36">
        <v>43466</v>
      </c>
      <c r="DL5" s="36">
        <v>43497</v>
      </c>
      <c r="DM5" s="36">
        <v>43525</v>
      </c>
      <c r="DN5" s="36">
        <v>43556</v>
      </c>
      <c r="DO5" s="36">
        <v>43586</v>
      </c>
      <c r="DP5" s="36">
        <v>43617</v>
      </c>
      <c r="DQ5" s="36">
        <v>43647</v>
      </c>
      <c r="DR5" s="36">
        <v>43678</v>
      </c>
      <c r="DS5" s="36">
        <v>43709</v>
      </c>
      <c r="DT5" s="36">
        <v>43739</v>
      </c>
      <c r="DU5" s="36">
        <v>43770</v>
      </c>
      <c r="DV5" s="36">
        <v>43800</v>
      </c>
      <c r="DW5" s="37" t="s">
        <v>202</v>
      </c>
      <c r="DY5" s="44"/>
      <c r="DZ5" s="33"/>
      <c r="EA5" s="238"/>
      <c r="EB5" s="238"/>
      <c r="EC5" s="238"/>
      <c r="ER5" s="486"/>
    </row>
    <row r="6" spans="1:148" s="32" customFormat="1" x14ac:dyDescent="0.2">
      <c r="E6" s="367" t="s">
        <v>203</v>
      </c>
      <c r="F6" s="38"/>
      <c r="G6" s="39"/>
      <c r="H6" s="39"/>
      <c r="I6" s="40"/>
      <c r="J6" s="41"/>
      <c r="K6" s="39"/>
      <c r="L6" s="39"/>
      <c r="M6" s="39"/>
      <c r="N6" s="39"/>
      <c r="O6" s="39"/>
      <c r="P6" s="39"/>
      <c r="Q6" s="39">
        <v>0</v>
      </c>
      <c r="R6" s="39">
        <v>0</v>
      </c>
      <c r="S6" s="42">
        <v>0</v>
      </c>
      <c r="T6" s="42">
        <v>0</v>
      </c>
      <c r="U6" s="42">
        <v>0</v>
      </c>
      <c r="V6" s="42">
        <v>0</v>
      </c>
      <c r="W6" s="42">
        <v>0</v>
      </c>
      <c r="X6" s="42">
        <v>0</v>
      </c>
      <c r="Y6" s="42">
        <v>0</v>
      </c>
      <c r="Z6" s="42">
        <v>0</v>
      </c>
      <c r="AA6" s="42">
        <v>0</v>
      </c>
      <c r="AB6" s="42">
        <v>0</v>
      </c>
      <c r="AC6" s="42">
        <v>0</v>
      </c>
      <c r="AD6" s="42">
        <v>6826.0504129999999</v>
      </c>
      <c r="AE6" s="42">
        <v>0</v>
      </c>
      <c r="AF6" s="42">
        <v>0</v>
      </c>
      <c r="AG6" s="42">
        <v>0</v>
      </c>
      <c r="AH6" s="42">
        <v>0</v>
      </c>
      <c r="AI6" s="42">
        <v>0</v>
      </c>
      <c r="AJ6" s="42">
        <v>0</v>
      </c>
      <c r="AK6" s="42">
        <v>0</v>
      </c>
      <c r="AL6" s="42">
        <v>0</v>
      </c>
      <c r="AM6" s="308">
        <f>17831405897/1000000</f>
        <v>17831.405897000001</v>
      </c>
      <c r="AN6" s="308">
        <v>0</v>
      </c>
      <c r="AO6" s="308">
        <v>0</v>
      </c>
      <c r="AP6" s="308">
        <v>6970.0770650000004</v>
      </c>
      <c r="AQ6" s="42">
        <v>0</v>
      </c>
      <c r="AR6" s="42">
        <v>0</v>
      </c>
      <c r="AS6" s="42">
        <v>0</v>
      </c>
      <c r="AT6" s="42">
        <v>16728.504057999999</v>
      </c>
      <c r="AU6" s="42">
        <v>0</v>
      </c>
      <c r="AV6" s="42">
        <v>0</v>
      </c>
      <c r="AW6" s="42">
        <v>0</v>
      </c>
      <c r="AX6" s="42">
        <v>0</v>
      </c>
      <c r="AY6" s="42">
        <v>0</v>
      </c>
      <c r="AZ6" s="42">
        <f>+AZ7+AZ8</f>
        <v>8041.5903779079999</v>
      </c>
      <c r="BA6" s="42">
        <v>0</v>
      </c>
      <c r="BB6" s="42">
        <v>0</v>
      </c>
      <c r="BC6" s="42">
        <v>0</v>
      </c>
      <c r="BD6" s="42"/>
      <c r="BE6" s="42">
        <v>0</v>
      </c>
      <c r="BF6" s="42">
        <f t="shared" ref="BF6:BL6" si="2">+BF8</f>
        <v>0</v>
      </c>
      <c r="BG6" s="42">
        <f t="shared" si="2"/>
        <v>0</v>
      </c>
      <c r="BH6" s="42">
        <f t="shared" si="2"/>
        <v>0</v>
      </c>
      <c r="BI6" s="42">
        <f t="shared" si="2"/>
        <v>0</v>
      </c>
      <c r="BJ6" s="42">
        <f t="shared" si="2"/>
        <v>12351.32135744</v>
      </c>
      <c r="BK6" s="42">
        <f t="shared" si="2"/>
        <v>0</v>
      </c>
      <c r="BL6" s="42">
        <f t="shared" si="2"/>
        <v>798.78499955999996</v>
      </c>
      <c r="BM6" s="42">
        <f>+BM7+BM8</f>
        <v>0</v>
      </c>
      <c r="BN6" s="42">
        <f>+BN8</f>
        <v>10000</v>
      </c>
      <c r="BO6" s="42">
        <v>0</v>
      </c>
      <c r="BP6" s="42">
        <f>SUM(BP7:BP8)</f>
        <v>0</v>
      </c>
      <c r="BQ6" s="42">
        <f t="shared" ref="BQ6:DJ6" si="3">SUM(BQ7:BQ8)</f>
        <v>0</v>
      </c>
      <c r="BR6" s="42">
        <f t="shared" si="3"/>
        <v>0</v>
      </c>
      <c r="BS6" s="42">
        <f t="shared" si="3"/>
        <v>0</v>
      </c>
      <c r="BT6" s="42">
        <f>SUM(BT7:BT8)</f>
        <v>0</v>
      </c>
      <c r="BU6" s="42">
        <f>SUM(BU7:BU8)</f>
        <v>0</v>
      </c>
      <c r="BV6" s="42">
        <f t="shared" si="3"/>
        <v>0</v>
      </c>
      <c r="BW6" s="42">
        <f t="shared" si="3"/>
        <v>18789</v>
      </c>
      <c r="BX6" s="42">
        <f t="shared" si="3"/>
        <v>0</v>
      </c>
      <c r="BY6" s="42">
        <f t="shared" si="3"/>
        <v>0</v>
      </c>
      <c r="BZ6" s="42">
        <f t="shared" si="3"/>
        <v>0</v>
      </c>
      <c r="CA6" s="42">
        <f t="shared" si="3"/>
        <v>0</v>
      </c>
      <c r="CB6" s="42">
        <f t="shared" si="3"/>
        <v>0</v>
      </c>
      <c r="CC6" s="42">
        <f t="shared" si="3"/>
        <v>0</v>
      </c>
      <c r="CD6" s="42">
        <f t="shared" si="3"/>
        <v>0</v>
      </c>
      <c r="CE6" s="42">
        <f t="shared" si="3"/>
        <v>0</v>
      </c>
      <c r="CF6" s="42">
        <f t="shared" si="3"/>
        <v>0</v>
      </c>
      <c r="CG6" s="42">
        <f t="shared" si="3"/>
        <v>0</v>
      </c>
      <c r="CH6" s="42">
        <f t="shared" si="3"/>
        <v>0</v>
      </c>
      <c r="CI6" s="42">
        <f t="shared" si="3"/>
        <v>0</v>
      </c>
      <c r="CJ6" s="42">
        <f t="shared" si="3"/>
        <v>1700</v>
      </c>
      <c r="CK6" s="42">
        <f t="shared" si="3"/>
        <v>0</v>
      </c>
      <c r="CL6" s="42">
        <f t="shared" si="3"/>
        <v>0</v>
      </c>
      <c r="CM6" s="42">
        <f t="shared" si="3"/>
        <v>0</v>
      </c>
      <c r="CN6" s="42">
        <f t="shared" si="3"/>
        <v>11000</v>
      </c>
      <c r="CO6" s="42">
        <f t="shared" si="3"/>
        <v>0</v>
      </c>
      <c r="CP6" s="42">
        <f t="shared" si="3"/>
        <v>0</v>
      </c>
      <c r="CQ6" s="42">
        <f t="shared" si="3"/>
        <v>0</v>
      </c>
      <c r="CR6" s="42">
        <f t="shared" si="3"/>
        <v>0</v>
      </c>
      <c r="CS6" s="42">
        <f t="shared" si="3"/>
        <v>0</v>
      </c>
      <c r="CT6" s="42">
        <f>SUM(CT7:CT8)</f>
        <v>563</v>
      </c>
      <c r="CU6" s="42">
        <f>SUM(CU7:CU8)</f>
        <v>0</v>
      </c>
      <c r="CV6" s="42">
        <f t="shared" si="3"/>
        <v>5264.3585750000002</v>
      </c>
      <c r="CW6" s="42">
        <f t="shared" si="3"/>
        <v>0</v>
      </c>
      <c r="CX6" s="42">
        <f t="shared" si="3"/>
        <v>0</v>
      </c>
      <c r="CY6" s="42">
        <f t="shared" si="3"/>
        <v>0</v>
      </c>
      <c r="CZ6" s="42">
        <f t="shared" si="3"/>
        <v>0</v>
      </c>
      <c r="DA6" s="42">
        <f>SUM(DA7:DA8)</f>
        <v>0</v>
      </c>
      <c r="DB6" s="42">
        <f>SUM(DB7:DB8)</f>
        <v>0</v>
      </c>
      <c r="DC6" s="42">
        <f t="shared" si="3"/>
        <v>0</v>
      </c>
      <c r="DD6" s="42">
        <f t="shared" si="3"/>
        <v>0</v>
      </c>
      <c r="DE6" s="42">
        <f>SUM(DE7:DE8)</f>
        <v>0</v>
      </c>
      <c r="DF6" s="42">
        <f t="shared" si="3"/>
        <v>13767.641425</v>
      </c>
      <c r="DG6" s="42">
        <f t="shared" si="3"/>
        <v>0</v>
      </c>
      <c r="DH6" s="42">
        <f t="shared" si="3"/>
        <v>0</v>
      </c>
      <c r="DI6" s="42">
        <f t="shared" si="3"/>
        <v>0</v>
      </c>
      <c r="DJ6" s="42">
        <f t="shared" si="3"/>
        <v>28143.941225000002</v>
      </c>
      <c r="DK6" s="42">
        <f t="shared" ref="DK6:DV6" si="4">SUM(DK7:DK8)</f>
        <v>0</v>
      </c>
      <c r="DL6" s="42">
        <f t="shared" si="4"/>
        <v>0</v>
      </c>
      <c r="DM6" s="42">
        <f t="shared" si="4"/>
        <v>0</v>
      </c>
      <c r="DN6" s="42">
        <f t="shared" si="4"/>
        <v>0</v>
      </c>
      <c r="DO6" s="42">
        <f t="shared" si="4"/>
        <v>0</v>
      </c>
      <c r="DP6" s="42">
        <f t="shared" si="4"/>
        <v>10988.259461000001</v>
      </c>
      <c r="DQ6" s="42">
        <f t="shared" si="4"/>
        <v>0</v>
      </c>
      <c r="DR6" s="42">
        <f t="shared" si="4"/>
        <v>0</v>
      </c>
      <c r="DS6" s="42">
        <f t="shared" si="4"/>
        <v>10000</v>
      </c>
      <c r="DT6" s="42">
        <f t="shared" si="4"/>
        <v>0</v>
      </c>
      <c r="DU6" s="42">
        <f t="shared" si="4"/>
        <v>0</v>
      </c>
      <c r="DV6" s="42">
        <f t="shared" si="4"/>
        <v>8000</v>
      </c>
      <c r="DW6" s="42">
        <f>SUM(G6:DV6)</f>
        <v>187763.93485390799</v>
      </c>
      <c r="DY6" s="44"/>
      <c r="DZ6" s="485"/>
      <c r="EA6" s="238"/>
      <c r="EB6" s="238"/>
      <c r="EC6" s="238"/>
      <c r="EG6" s="486"/>
      <c r="ER6" s="486"/>
    </row>
    <row r="7" spans="1:148" s="32" customFormat="1" x14ac:dyDescent="0.2">
      <c r="E7" s="38" t="s">
        <v>446</v>
      </c>
      <c r="F7" s="38"/>
      <c r="G7" s="39"/>
      <c r="H7" s="39"/>
      <c r="I7" s="366"/>
      <c r="J7" s="41"/>
      <c r="K7" s="39"/>
      <c r="L7" s="39"/>
      <c r="M7" s="39"/>
      <c r="N7" s="39"/>
      <c r="O7" s="39"/>
      <c r="P7" s="39"/>
      <c r="Q7" s="39"/>
      <c r="R7" s="39"/>
      <c r="S7" s="42"/>
      <c r="T7" s="42"/>
      <c r="U7" s="42"/>
      <c r="V7" s="42"/>
      <c r="W7" s="42"/>
      <c r="X7" s="42"/>
      <c r="Y7" s="42"/>
      <c r="Z7" s="42"/>
      <c r="AA7" s="42"/>
      <c r="AB7" s="42"/>
      <c r="AC7" s="42"/>
      <c r="AD7" s="42">
        <v>6826.0504129999999</v>
      </c>
      <c r="AE7" s="42">
        <v>0</v>
      </c>
      <c r="AF7" s="42">
        <v>0</v>
      </c>
      <c r="AG7" s="42">
        <v>0</v>
      </c>
      <c r="AH7" s="42">
        <v>0</v>
      </c>
      <c r="AI7" s="42">
        <v>0</v>
      </c>
      <c r="AJ7" s="42">
        <v>0</v>
      </c>
      <c r="AK7" s="42">
        <v>0</v>
      </c>
      <c r="AL7" s="42">
        <v>0</v>
      </c>
      <c r="AM7" s="308">
        <f>17831.405897</f>
        <v>17831.405897000001</v>
      </c>
      <c r="AN7" s="308">
        <v>0</v>
      </c>
      <c r="AO7" s="308">
        <v>0</v>
      </c>
      <c r="AP7" s="308">
        <v>6970.0770650000004</v>
      </c>
      <c r="AQ7" s="305">
        <v>0</v>
      </c>
      <c r="AR7" s="305">
        <v>0</v>
      </c>
      <c r="AS7" s="305">
        <v>0</v>
      </c>
      <c r="AT7" s="42">
        <v>16728.504057999999</v>
      </c>
      <c r="AU7" s="42">
        <v>0</v>
      </c>
      <c r="AV7" s="42">
        <v>0</v>
      </c>
      <c r="AW7" s="42">
        <v>0</v>
      </c>
      <c r="AX7" s="42">
        <v>0</v>
      </c>
      <c r="AY7" s="42">
        <v>0</v>
      </c>
      <c r="AZ7" s="42">
        <v>8041.5903779079999</v>
      </c>
      <c r="BA7" s="42"/>
      <c r="BB7" s="42"/>
      <c r="BC7" s="42"/>
      <c r="BD7" s="42"/>
      <c r="BE7" s="42">
        <v>0</v>
      </c>
      <c r="BF7" s="42"/>
      <c r="BG7" s="42"/>
      <c r="BH7" s="42"/>
      <c r="BI7" s="42"/>
      <c r="BJ7" s="42"/>
      <c r="BK7" s="42"/>
      <c r="BL7" s="42"/>
      <c r="BM7" s="42"/>
      <c r="BN7" s="42"/>
      <c r="BO7" s="42"/>
      <c r="BP7" s="42"/>
      <c r="BQ7" s="42"/>
      <c r="BR7" s="42"/>
      <c r="BS7" s="42"/>
      <c r="BT7" s="42"/>
      <c r="BU7" s="42"/>
      <c r="BV7" s="42"/>
      <c r="BW7" s="42"/>
      <c r="BX7" s="305"/>
      <c r="BY7" s="305"/>
      <c r="BZ7" s="305"/>
      <c r="CA7" s="305"/>
      <c r="CB7" s="305"/>
      <c r="CC7" s="305"/>
      <c r="CD7" s="305"/>
      <c r="CE7" s="42"/>
      <c r="CF7" s="42"/>
      <c r="CG7" s="42"/>
      <c r="CH7" s="42"/>
      <c r="CI7" s="42"/>
      <c r="CJ7" s="305"/>
      <c r="CK7" s="305"/>
      <c r="CL7" s="305"/>
      <c r="CM7" s="305"/>
      <c r="CN7" s="305"/>
      <c r="CO7" s="305"/>
      <c r="CP7" s="305"/>
      <c r="CQ7" s="305"/>
      <c r="CR7" s="305"/>
      <c r="CS7" s="305"/>
      <c r="CT7" s="305"/>
      <c r="CU7" s="305"/>
      <c r="CV7" s="305"/>
      <c r="CW7" s="305"/>
      <c r="CX7" s="305"/>
      <c r="CY7" s="305"/>
      <c r="CZ7" s="305"/>
      <c r="DA7" s="305"/>
      <c r="DB7" s="305"/>
      <c r="DC7" s="305"/>
      <c r="DD7" s="305"/>
      <c r="DE7" s="305"/>
      <c r="DF7" s="305"/>
      <c r="DG7" s="305"/>
      <c r="DH7" s="305"/>
      <c r="DI7" s="305"/>
      <c r="DJ7" s="305"/>
      <c r="DK7" s="42">
        <v>0</v>
      </c>
      <c r="DL7" s="42">
        <v>0</v>
      </c>
      <c r="DM7" s="42">
        <v>0</v>
      </c>
      <c r="DN7" s="42">
        <v>0</v>
      </c>
      <c r="DO7" s="42">
        <v>0</v>
      </c>
      <c r="DP7" s="42">
        <v>0</v>
      </c>
      <c r="DQ7" s="42">
        <v>0</v>
      </c>
      <c r="DR7" s="42">
        <v>0</v>
      </c>
      <c r="DS7" s="42">
        <v>0</v>
      </c>
      <c r="DT7" s="42">
        <v>0</v>
      </c>
      <c r="DU7" s="42">
        <v>0</v>
      </c>
      <c r="DV7" s="42">
        <v>0</v>
      </c>
      <c r="DW7" s="42">
        <f>SUM(G7:DV7)</f>
        <v>56397.627810908001</v>
      </c>
      <c r="DX7" s="307"/>
      <c r="DY7" s="44"/>
      <c r="DZ7" s="33"/>
      <c r="EA7" s="238"/>
      <c r="EB7" s="238"/>
      <c r="EC7" s="238"/>
      <c r="EK7" s="586"/>
      <c r="ER7" s="486"/>
    </row>
    <row r="8" spans="1:148" s="32" customFormat="1" ht="15.75" x14ac:dyDescent="0.25">
      <c r="E8" s="38" t="s">
        <v>445</v>
      </c>
      <c r="F8" s="38"/>
      <c r="G8" s="39"/>
      <c r="H8" s="39"/>
      <c r="I8" s="366"/>
      <c r="J8" s="41"/>
      <c r="K8" s="39"/>
      <c r="L8" s="39"/>
      <c r="M8" s="39"/>
      <c r="N8" s="39"/>
      <c r="O8" s="39"/>
      <c r="P8" s="39"/>
      <c r="Q8" s="39"/>
      <c r="R8" s="39"/>
      <c r="S8" s="394"/>
      <c r="T8" s="394"/>
      <c r="U8" s="394"/>
      <c r="V8" s="394"/>
      <c r="W8" s="394"/>
      <c r="X8" s="394"/>
      <c r="Y8" s="394"/>
      <c r="Z8" s="394"/>
      <c r="AA8" s="394"/>
      <c r="AB8" s="394"/>
      <c r="AC8" s="394"/>
      <c r="AD8" s="394"/>
      <c r="AE8" s="394"/>
      <c r="AF8" s="394"/>
      <c r="AG8" s="394"/>
      <c r="AH8" s="394"/>
      <c r="AI8" s="394"/>
      <c r="AJ8" s="394"/>
      <c r="AK8" s="394"/>
      <c r="AL8" s="394"/>
      <c r="AM8" s="1129"/>
      <c r="AN8" s="1129"/>
      <c r="AO8" s="1129"/>
      <c r="AP8" s="1129"/>
      <c r="AQ8" s="1130"/>
      <c r="AR8" s="1130"/>
      <c r="AS8" s="1130"/>
      <c r="AT8" s="394"/>
      <c r="AU8" s="394"/>
      <c r="AV8" s="394"/>
      <c r="AW8" s="394"/>
      <c r="AX8" s="394"/>
      <c r="AY8" s="394"/>
      <c r="AZ8" s="394">
        <v>0</v>
      </c>
      <c r="BA8" s="394">
        <v>0</v>
      </c>
      <c r="BB8" s="394">
        <v>0</v>
      </c>
      <c r="BC8" s="394">
        <v>0</v>
      </c>
      <c r="BD8" s="394"/>
      <c r="BE8" s="394">
        <v>0</v>
      </c>
      <c r="BF8" s="394">
        <v>0</v>
      </c>
      <c r="BG8" s="394">
        <v>0</v>
      </c>
      <c r="BH8" s="394">
        <v>0</v>
      </c>
      <c r="BI8" s="394">
        <v>0</v>
      </c>
      <c r="BJ8" s="394">
        <v>12351.32135744</v>
      </c>
      <c r="BK8" s="394">
        <v>0</v>
      </c>
      <c r="BL8" s="394">
        <v>798.78499955999996</v>
      </c>
      <c r="BM8" s="394">
        <v>0</v>
      </c>
      <c r="BN8" s="394">
        <v>10000</v>
      </c>
      <c r="BO8" s="394">
        <v>0</v>
      </c>
      <c r="BP8" s="394">
        <v>0</v>
      </c>
      <c r="BQ8" s="394">
        <v>0</v>
      </c>
      <c r="BR8" s="394">
        <v>0</v>
      </c>
      <c r="BS8" s="394">
        <v>0</v>
      </c>
      <c r="BT8" s="394">
        <v>0</v>
      </c>
      <c r="BU8" s="394">
        <v>0</v>
      </c>
      <c r="BV8" s="1131">
        <v>0</v>
      </c>
      <c r="BW8" s="394">
        <v>18789</v>
      </c>
      <c r="BX8" s="1131">
        <v>0</v>
      </c>
      <c r="BY8" s="394">
        <v>0</v>
      </c>
      <c r="BZ8" s="1130">
        <v>0</v>
      </c>
      <c r="CA8" s="1130">
        <v>0</v>
      </c>
      <c r="CB8" s="1130">
        <v>0</v>
      </c>
      <c r="CC8" s="394">
        <v>0</v>
      </c>
      <c r="CD8" s="1130">
        <v>0</v>
      </c>
      <c r="CE8" s="394">
        <v>0</v>
      </c>
      <c r="CF8" s="394">
        <v>0</v>
      </c>
      <c r="CG8" s="1132">
        <v>0</v>
      </c>
      <c r="CH8" s="394">
        <v>0</v>
      </c>
      <c r="CI8" s="394">
        <v>0</v>
      </c>
      <c r="CJ8" s="394">
        <v>1700</v>
      </c>
      <c r="CK8" s="394">
        <v>0</v>
      </c>
      <c r="CL8" s="394"/>
      <c r="CM8" s="394"/>
      <c r="CN8" s="394">
        <v>11000</v>
      </c>
      <c r="CO8" s="394">
        <v>0</v>
      </c>
      <c r="CP8" s="394">
        <v>0</v>
      </c>
      <c r="CQ8" s="394">
        <v>0</v>
      </c>
      <c r="CT8" s="394">
        <f>6263+7000-1700-11000</f>
        <v>563</v>
      </c>
      <c r="CU8" s="1133">
        <v>0</v>
      </c>
      <c r="CV8" s="1133">
        <v>5264.3585750000002</v>
      </c>
      <c r="CW8" s="1133">
        <v>0</v>
      </c>
      <c r="CX8" s="1133">
        <v>0</v>
      </c>
      <c r="CY8" s="1133">
        <v>0</v>
      </c>
      <c r="CZ8" s="1133"/>
      <c r="DA8" s="1133">
        <v>0</v>
      </c>
      <c r="DB8" s="1133">
        <v>0</v>
      </c>
      <c r="DC8" s="1133">
        <v>0</v>
      </c>
      <c r="DD8" s="1133">
        <v>0</v>
      </c>
      <c r="DE8" s="1133">
        <v>0</v>
      </c>
      <c r="DF8" s="1133">
        <v>13767.641425</v>
      </c>
      <c r="DG8" s="1133">
        <v>0</v>
      </c>
      <c r="DH8" s="1130">
        <v>0</v>
      </c>
      <c r="DI8" s="1133">
        <v>0</v>
      </c>
      <c r="DJ8" s="1133">
        <f>14143.941225+14000</f>
        <v>28143.941225000002</v>
      </c>
      <c r="DK8" s="394">
        <v>0</v>
      </c>
      <c r="DL8" s="394">
        <v>0</v>
      </c>
      <c r="DM8" s="394">
        <v>0</v>
      </c>
      <c r="DN8" s="394">
        <v>0</v>
      </c>
      <c r="DO8" s="394">
        <v>0</v>
      </c>
      <c r="DP8" s="394">
        <v>10988.259461000001</v>
      </c>
      <c r="DQ8" s="394">
        <v>0</v>
      </c>
      <c r="DR8" s="394">
        <v>0</v>
      </c>
      <c r="DS8" s="394">
        <v>10000</v>
      </c>
      <c r="DT8" s="394">
        <v>0</v>
      </c>
      <c r="DU8" s="394">
        <v>0</v>
      </c>
      <c r="DV8" s="394">
        <v>8000</v>
      </c>
      <c r="DW8" s="394">
        <f>SUM(G8:DV8)</f>
        <v>131366.30704300001</v>
      </c>
      <c r="DX8" s="47"/>
      <c r="DY8" s="44"/>
      <c r="DZ8" s="33"/>
      <c r="EA8" s="238"/>
      <c r="EB8" s="238"/>
      <c r="EC8" s="238"/>
      <c r="ER8" s="486"/>
    </row>
    <row r="9" spans="1:148" s="32" customFormat="1" x14ac:dyDescent="0.2">
      <c r="E9" s="367" t="s">
        <v>204</v>
      </c>
      <c r="F9" s="38"/>
      <c r="G9" s="42">
        <v>0</v>
      </c>
      <c r="H9" s="42">
        <v>0</v>
      </c>
      <c r="I9" s="42"/>
      <c r="J9" s="42"/>
      <c r="K9" s="42"/>
      <c r="L9" s="42"/>
      <c r="M9" s="42"/>
      <c r="N9" s="42">
        <v>0</v>
      </c>
      <c r="O9" s="42">
        <v>0</v>
      </c>
      <c r="P9" s="42">
        <v>0</v>
      </c>
      <c r="Q9" s="42">
        <v>760</v>
      </c>
      <c r="R9" s="42">
        <f>0</f>
        <v>0</v>
      </c>
      <c r="S9" s="42">
        <v>0</v>
      </c>
      <c r="T9" s="42">
        <v>0</v>
      </c>
      <c r="U9" s="42">
        <v>0</v>
      </c>
      <c r="V9" s="42">
        <v>1324.8902740000001</v>
      </c>
      <c r="W9" s="42">
        <v>995.56644600000004</v>
      </c>
      <c r="X9" s="42">
        <v>497.78322300000002</v>
      </c>
      <c r="Y9" s="42">
        <v>0</v>
      </c>
      <c r="Z9" s="42">
        <v>995.56644600000004</v>
      </c>
      <c r="AA9" s="42">
        <v>995.56644600000004</v>
      </c>
      <c r="AB9" s="42">
        <v>497.78322300000002</v>
      </c>
      <c r="AC9" s="42">
        <v>497.78322300000002</v>
      </c>
      <c r="AD9" s="42">
        <v>497.78322300000002</v>
      </c>
      <c r="AE9" s="42">
        <v>0</v>
      </c>
      <c r="AF9" s="42">
        <v>0</v>
      </c>
      <c r="AG9" s="42">
        <v>1854</v>
      </c>
      <c r="AH9" s="42">
        <v>927</v>
      </c>
      <c r="AI9" s="42">
        <f>(11124000000/12)/1000000*2</f>
        <v>1854</v>
      </c>
      <c r="AJ9" s="42">
        <v>0</v>
      </c>
      <c r="AK9" s="42">
        <v>1854</v>
      </c>
      <c r="AL9" s="42">
        <f>(11124000000/12)/1000000</f>
        <v>927</v>
      </c>
      <c r="AM9" s="42">
        <f>(11124000000/12)/1000000</f>
        <v>927</v>
      </c>
      <c r="AN9" s="42">
        <f>(11124000000/12)/1000000</f>
        <v>927</v>
      </c>
      <c r="AO9" s="42">
        <v>305.20297399999998</v>
      </c>
      <c r="AP9" s="42">
        <v>611</v>
      </c>
      <c r="AQ9" s="42">
        <v>0</v>
      </c>
      <c r="AR9" s="42">
        <f>(11490000000/12)/1000000</f>
        <v>957.5</v>
      </c>
      <c r="AS9" s="42">
        <f>((11490000000/12)/1000000)*2</f>
        <v>1915</v>
      </c>
      <c r="AT9" s="42">
        <f t="shared" ref="AT9:AZ9" si="5">(11490000000/12)/1000000</f>
        <v>957.5</v>
      </c>
      <c r="AU9" s="42">
        <f>(11490000000/12)/1000000+1243</f>
        <v>2200.5</v>
      </c>
      <c r="AV9" s="42">
        <f t="shared" si="5"/>
        <v>957.5</v>
      </c>
      <c r="AW9" s="42">
        <f t="shared" si="5"/>
        <v>957.5</v>
      </c>
      <c r="AX9" s="42">
        <v>0</v>
      </c>
      <c r="AY9" s="42">
        <f>((11490000000/12)/1000000)*2</f>
        <v>1915</v>
      </c>
      <c r="AZ9" s="42">
        <f t="shared" si="5"/>
        <v>957.5</v>
      </c>
      <c r="BA9" s="42">
        <v>0</v>
      </c>
      <c r="BB9" s="42">
        <f>((11490000000/12)/1000000)*2</f>
        <v>1915</v>
      </c>
      <c r="BC9" s="42">
        <v>0</v>
      </c>
      <c r="BD9" s="42">
        <v>0</v>
      </c>
      <c r="BE9" s="42">
        <f>977.833333*3</f>
        <v>2933.4999990000001</v>
      </c>
      <c r="BF9" s="42">
        <v>0</v>
      </c>
      <c r="BG9" s="42">
        <f>977.833333*2</f>
        <v>1955.6666660000001</v>
      </c>
      <c r="BH9" s="42">
        <v>977.83333300000004</v>
      </c>
      <c r="BI9" s="42">
        <v>977.83333300000004</v>
      </c>
      <c r="BJ9" s="42">
        <v>0</v>
      </c>
      <c r="BK9" s="42">
        <v>0</v>
      </c>
      <c r="BL9" s="42">
        <v>4889.1666690000002</v>
      </c>
      <c r="BM9" s="42"/>
      <c r="BN9" s="42"/>
      <c r="BO9" s="53">
        <v>0</v>
      </c>
      <c r="BP9" s="53">
        <v>0</v>
      </c>
      <c r="BQ9" s="53">
        <v>0</v>
      </c>
      <c r="BR9" s="53"/>
      <c r="BS9" s="53">
        <v>6464.4406019999997</v>
      </c>
      <c r="BT9" s="53">
        <v>0</v>
      </c>
      <c r="BU9" s="53"/>
      <c r="BV9" s="53">
        <v>0</v>
      </c>
      <c r="BW9" s="53">
        <v>0</v>
      </c>
      <c r="BX9" s="53"/>
      <c r="BY9" s="53">
        <v>6464.4406010000002</v>
      </c>
      <c r="BZ9" s="53">
        <v>0</v>
      </c>
      <c r="CA9" s="53"/>
      <c r="CB9" s="53">
        <v>0</v>
      </c>
      <c r="CC9" s="53">
        <v>0</v>
      </c>
      <c r="CD9" s="53">
        <v>0</v>
      </c>
      <c r="CE9" s="53"/>
      <c r="CF9" s="53">
        <v>3000</v>
      </c>
      <c r="CG9" s="53"/>
      <c r="CH9" s="53"/>
      <c r="CI9" s="53"/>
      <c r="CJ9" s="53"/>
      <c r="CK9" s="53"/>
      <c r="CL9" s="53"/>
      <c r="CM9" s="53">
        <v>0</v>
      </c>
      <c r="CN9" s="53">
        <v>0</v>
      </c>
      <c r="CO9" s="53">
        <v>0</v>
      </c>
      <c r="CP9" s="53">
        <v>0</v>
      </c>
      <c r="CQ9" s="53">
        <v>0</v>
      </c>
      <c r="CR9" s="53">
        <v>0</v>
      </c>
      <c r="CS9" s="53">
        <v>0</v>
      </c>
      <c r="CT9" s="53">
        <v>0</v>
      </c>
      <c r="CU9" s="53">
        <v>0</v>
      </c>
      <c r="CV9" s="53">
        <v>0</v>
      </c>
      <c r="CW9" s="53">
        <v>0</v>
      </c>
      <c r="CX9" s="53">
        <v>0</v>
      </c>
      <c r="CY9" s="53">
        <v>0</v>
      </c>
      <c r="CZ9" s="53">
        <v>0</v>
      </c>
      <c r="DA9" s="53">
        <v>0</v>
      </c>
      <c r="DB9" s="53">
        <v>0</v>
      </c>
      <c r="DC9" s="53">
        <v>0</v>
      </c>
      <c r="DD9" s="53">
        <v>0</v>
      </c>
      <c r="DE9" s="53">
        <v>0</v>
      </c>
      <c r="DF9" s="53">
        <v>0</v>
      </c>
      <c r="DG9" s="53">
        <v>0</v>
      </c>
      <c r="DH9" s="53">
        <v>0</v>
      </c>
      <c r="DI9" s="53">
        <v>0</v>
      </c>
      <c r="DJ9" s="53">
        <v>0</v>
      </c>
      <c r="DK9" s="53">
        <v>0</v>
      </c>
      <c r="DL9" s="53">
        <v>0</v>
      </c>
      <c r="DM9" s="53">
        <v>0</v>
      </c>
      <c r="DN9" s="53">
        <v>0</v>
      </c>
      <c r="DO9" s="53"/>
      <c r="DP9" s="53"/>
      <c r="DQ9" s="53"/>
      <c r="DR9" s="53"/>
      <c r="DS9" s="53"/>
      <c r="DT9" s="53"/>
      <c r="DU9" s="53"/>
      <c r="DV9" s="53"/>
      <c r="DW9" s="53">
        <f>SUM(G9:DV9)</f>
        <v>57644.806681000009</v>
      </c>
      <c r="DX9" s="64"/>
      <c r="DY9" s="44"/>
      <c r="DZ9" s="33"/>
      <c r="EA9" s="238"/>
      <c r="EB9" s="238"/>
      <c r="EC9" s="238"/>
      <c r="EG9" s="33"/>
      <c r="ER9" s="486"/>
    </row>
    <row r="10" spans="1:148" s="32" customFormat="1" x14ac:dyDescent="0.2">
      <c r="E10" s="367" t="s">
        <v>556</v>
      </c>
      <c r="F10" s="38"/>
      <c r="G10" s="42">
        <v>5936.4696560000002</v>
      </c>
      <c r="H10" s="42">
        <v>8073.4380970000002</v>
      </c>
      <c r="I10" s="42"/>
      <c r="J10" s="42"/>
      <c r="K10" s="42"/>
      <c r="L10" s="42"/>
      <c r="M10" s="42"/>
      <c r="N10" s="42"/>
      <c r="O10" s="42"/>
      <c r="P10" s="42"/>
      <c r="Q10" s="42"/>
      <c r="R10" s="42"/>
      <c r="S10" s="42">
        <v>0</v>
      </c>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v>0</v>
      </c>
      <c r="CP10" s="53"/>
      <c r="CQ10" s="53"/>
      <c r="CR10" s="53"/>
      <c r="CS10" s="53"/>
      <c r="CT10" s="53"/>
      <c r="CU10" s="53"/>
      <c r="CV10" s="53"/>
      <c r="CW10" s="53"/>
      <c r="CX10" s="53"/>
      <c r="CY10" s="53"/>
      <c r="CZ10" s="671">
        <f>+CX10-CY10</f>
        <v>0</v>
      </c>
      <c r="DA10" s="53"/>
      <c r="DB10" s="53">
        <v>0</v>
      </c>
      <c r="DC10" s="53"/>
      <c r="DD10" s="53"/>
      <c r="DE10" s="53"/>
      <c r="DF10" s="53"/>
      <c r="DG10" s="53"/>
      <c r="DH10" s="53"/>
      <c r="DI10" s="53"/>
      <c r="DJ10" s="53"/>
      <c r="DK10" s="53"/>
      <c r="DL10" s="53"/>
      <c r="DM10" s="53"/>
      <c r="DN10" s="53">
        <v>0</v>
      </c>
      <c r="DO10" s="53"/>
      <c r="DP10" s="53"/>
      <c r="DQ10" s="53"/>
      <c r="DR10" s="53"/>
      <c r="DS10" s="53"/>
      <c r="DT10" s="53"/>
      <c r="DU10" s="53"/>
      <c r="DV10" s="53"/>
      <c r="DW10" s="53">
        <f>SUM(G10:DV10)</f>
        <v>14009.907753</v>
      </c>
      <c r="DX10" s="64"/>
      <c r="DY10" s="44"/>
      <c r="DZ10" s="33"/>
      <c r="EA10" s="238"/>
      <c r="EB10" s="238"/>
      <c r="EC10" s="238"/>
      <c r="EG10" s="33"/>
      <c r="ER10" s="486"/>
    </row>
    <row r="11" spans="1:148" s="45" customFormat="1" ht="27.75" customHeight="1" x14ac:dyDescent="0.2">
      <c r="A11" s="1125">
        <v>5541.2849555144139</v>
      </c>
      <c r="B11" s="1126"/>
      <c r="C11" s="1126"/>
      <c r="D11" s="1126"/>
      <c r="E11" s="1123" t="s">
        <v>205</v>
      </c>
      <c r="F11" s="46"/>
      <c r="G11" s="46">
        <f>+G10</f>
        <v>5936.4696560000002</v>
      </c>
      <c r="H11" s="46">
        <f>+H10</f>
        <v>8073.4380970000002</v>
      </c>
      <c r="I11" s="46">
        <f t="shared" ref="I11:BS11" si="6">I6+I9</f>
        <v>0</v>
      </c>
      <c r="J11" s="46">
        <f t="shared" si="6"/>
        <v>0</v>
      </c>
      <c r="K11" s="46">
        <f t="shared" si="6"/>
        <v>0</v>
      </c>
      <c r="L11" s="46">
        <f t="shared" si="6"/>
        <v>0</v>
      </c>
      <c r="M11" s="46">
        <f t="shared" si="6"/>
        <v>0</v>
      </c>
      <c r="N11" s="46">
        <f t="shared" si="6"/>
        <v>0</v>
      </c>
      <c r="O11" s="46">
        <f t="shared" si="6"/>
        <v>0</v>
      </c>
      <c r="P11" s="46">
        <f t="shared" si="6"/>
        <v>0</v>
      </c>
      <c r="Q11" s="46">
        <f t="shared" si="6"/>
        <v>760</v>
      </c>
      <c r="R11" s="46">
        <f t="shared" si="6"/>
        <v>0</v>
      </c>
      <c r="S11" s="46">
        <f>+S10</f>
        <v>0</v>
      </c>
      <c r="T11" s="46">
        <f t="shared" si="6"/>
        <v>0</v>
      </c>
      <c r="U11" s="46">
        <f t="shared" si="6"/>
        <v>0</v>
      </c>
      <c r="V11" s="46">
        <f t="shared" si="6"/>
        <v>1324.8902740000001</v>
      </c>
      <c r="W11" s="46">
        <f t="shared" si="6"/>
        <v>995.56644600000004</v>
      </c>
      <c r="X11" s="46">
        <f t="shared" si="6"/>
        <v>497.78322300000002</v>
      </c>
      <c r="Y11" s="46">
        <f t="shared" si="6"/>
        <v>0</v>
      </c>
      <c r="Z11" s="46">
        <f t="shared" si="6"/>
        <v>995.56644600000004</v>
      </c>
      <c r="AA11" s="46">
        <f t="shared" si="6"/>
        <v>995.56644600000004</v>
      </c>
      <c r="AB11" s="46">
        <f t="shared" si="6"/>
        <v>497.78322300000002</v>
      </c>
      <c r="AC11" s="46">
        <f t="shared" si="6"/>
        <v>497.78322300000002</v>
      </c>
      <c r="AD11" s="46">
        <f t="shared" si="6"/>
        <v>7323.8336360000003</v>
      </c>
      <c r="AE11" s="46">
        <f t="shared" si="6"/>
        <v>0</v>
      </c>
      <c r="AF11" s="46">
        <f t="shared" si="6"/>
        <v>0</v>
      </c>
      <c r="AG11" s="46">
        <f t="shared" si="6"/>
        <v>1854</v>
      </c>
      <c r="AH11" s="46">
        <f t="shared" si="6"/>
        <v>927</v>
      </c>
      <c r="AI11" s="46">
        <f t="shared" si="6"/>
        <v>1854</v>
      </c>
      <c r="AJ11" s="46">
        <f t="shared" si="6"/>
        <v>0</v>
      </c>
      <c r="AK11" s="46">
        <f t="shared" si="6"/>
        <v>1854</v>
      </c>
      <c r="AL11" s="46">
        <f t="shared" si="6"/>
        <v>927</v>
      </c>
      <c r="AM11" s="46">
        <f t="shared" si="6"/>
        <v>18758.405897000001</v>
      </c>
      <c r="AN11" s="46">
        <f t="shared" si="6"/>
        <v>927</v>
      </c>
      <c r="AO11" s="46">
        <f>AO6+AO9</f>
        <v>305.20297399999998</v>
      </c>
      <c r="AP11" s="46">
        <f>AP6+AP9</f>
        <v>7581.0770650000004</v>
      </c>
      <c r="AQ11" s="46">
        <f t="shared" si="6"/>
        <v>0</v>
      </c>
      <c r="AR11" s="46">
        <f t="shared" si="6"/>
        <v>957.5</v>
      </c>
      <c r="AS11" s="46">
        <f t="shared" si="6"/>
        <v>1915</v>
      </c>
      <c r="AT11" s="46">
        <f t="shared" si="6"/>
        <v>17686.004057999999</v>
      </c>
      <c r="AU11" s="46">
        <f t="shared" si="6"/>
        <v>2200.5</v>
      </c>
      <c r="AV11" s="46">
        <f t="shared" si="6"/>
        <v>957.5</v>
      </c>
      <c r="AW11" s="46">
        <f t="shared" si="6"/>
        <v>957.5</v>
      </c>
      <c r="AX11" s="46">
        <f t="shared" si="6"/>
        <v>0</v>
      </c>
      <c r="AY11" s="46">
        <f t="shared" si="6"/>
        <v>1915</v>
      </c>
      <c r="AZ11" s="46">
        <f t="shared" si="6"/>
        <v>8999.0903779079999</v>
      </c>
      <c r="BA11" s="46">
        <f t="shared" si="6"/>
        <v>0</v>
      </c>
      <c r="BB11" s="46">
        <f t="shared" si="6"/>
        <v>1915</v>
      </c>
      <c r="BC11" s="46">
        <f t="shared" si="6"/>
        <v>0</v>
      </c>
      <c r="BD11" s="46">
        <f t="shared" si="6"/>
        <v>0</v>
      </c>
      <c r="BE11" s="46">
        <f>BE6+BE9</f>
        <v>2933.4999990000001</v>
      </c>
      <c r="BF11" s="46">
        <f>BF6+BF9</f>
        <v>0</v>
      </c>
      <c r="BG11" s="46">
        <f t="shared" si="6"/>
        <v>1955.6666660000001</v>
      </c>
      <c r="BH11" s="46">
        <f t="shared" si="6"/>
        <v>977.83333300000004</v>
      </c>
      <c r="BI11" s="46">
        <f t="shared" si="6"/>
        <v>977.83333300000004</v>
      </c>
      <c r="BJ11" s="46">
        <f t="shared" si="6"/>
        <v>12351.32135744</v>
      </c>
      <c r="BK11" s="46">
        <f t="shared" si="6"/>
        <v>0</v>
      </c>
      <c r="BL11" s="46">
        <f t="shared" si="6"/>
        <v>5687.9516685600001</v>
      </c>
      <c r="BM11" s="46">
        <f t="shared" si="6"/>
        <v>0</v>
      </c>
      <c r="BN11" s="46">
        <f t="shared" si="6"/>
        <v>10000</v>
      </c>
      <c r="BO11" s="46">
        <f t="shared" si="6"/>
        <v>0</v>
      </c>
      <c r="BP11" s="46">
        <f t="shared" si="6"/>
        <v>0</v>
      </c>
      <c r="BQ11" s="46">
        <f t="shared" si="6"/>
        <v>0</v>
      </c>
      <c r="BR11" s="46">
        <f t="shared" si="6"/>
        <v>0</v>
      </c>
      <c r="BS11" s="46">
        <f t="shared" si="6"/>
        <v>6464.4406019999997</v>
      </c>
      <c r="BT11" s="46">
        <f t="shared" ref="BT11:CL11" si="7">BT6+BT9</f>
        <v>0</v>
      </c>
      <c r="BU11" s="46">
        <f t="shared" si="7"/>
        <v>0</v>
      </c>
      <c r="BV11" s="46">
        <f t="shared" si="7"/>
        <v>0</v>
      </c>
      <c r="BW11" s="46">
        <f t="shared" si="7"/>
        <v>18789</v>
      </c>
      <c r="BX11" s="46">
        <f t="shared" si="7"/>
        <v>0</v>
      </c>
      <c r="BY11" s="46">
        <f t="shared" si="7"/>
        <v>6464.4406010000002</v>
      </c>
      <c r="BZ11" s="46">
        <f t="shared" si="7"/>
        <v>0</v>
      </c>
      <c r="CA11" s="46">
        <f t="shared" si="7"/>
        <v>0</v>
      </c>
      <c r="CB11" s="46">
        <f t="shared" si="7"/>
        <v>0</v>
      </c>
      <c r="CC11" s="46">
        <f t="shared" si="7"/>
        <v>0</v>
      </c>
      <c r="CD11" s="46">
        <f t="shared" si="7"/>
        <v>0</v>
      </c>
      <c r="CE11" s="46">
        <f t="shared" si="7"/>
        <v>0</v>
      </c>
      <c r="CF11" s="46">
        <f t="shared" si="7"/>
        <v>3000</v>
      </c>
      <c r="CG11" s="46">
        <f t="shared" si="7"/>
        <v>0</v>
      </c>
      <c r="CH11" s="46">
        <f t="shared" si="7"/>
        <v>0</v>
      </c>
      <c r="CI11" s="46">
        <f t="shared" si="7"/>
        <v>0</v>
      </c>
      <c r="CJ11" s="46">
        <f t="shared" si="7"/>
        <v>1700</v>
      </c>
      <c r="CK11" s="46">
        <f t="shared" si="7"/>
        <v>0</v>
      </c>
      <c r="CL11" s="46">
        <f t="shared" si="7"/>
        <v>0</v>
      </c>
      <c r="CM11" s="46">
        <f>CM6+CM9</f>
        <v>0</v>
      </c>
      <c r="CN11" s="46">
        <f t="shared" ref="CN11:CX11" si="8">CN6+CN9</f>
        <v>11000</v>
      </c>
      <c r="CO11" s="46">
        <f t="shared" si="8"/>
        <v>0</v>
      </c>
      <c r="CP11" s="46">
        <f t="shared" si="8"/>
        <v>0</v>
      </c>
      <c r="CQ11" s="46">
        <f t="shared" si="8"/>
        <v>0</v>
      </c>
      <c r="CR11" s="46">
        <f t="shared" si="8"/>
        <v>0</v>
      </c>
      <c r="CS11" s="46">
        <f t="shared" si="8"/>
        <v>0</v>
      </c>
      <c r="CT11" s="46">
        <f t="shared" si="8"/>
        <v>563</v>
      </c>
      <c r="CU11" s="46">
        <f t="shared" si="8"/>
        <v>0</v>
      </c>
      <c r="CV11" s="46">
        <f t="shared" si="8"/>
        <v>5264.3585750000002</v>
      </c>
      <c r="CW11" s="46">
        <f t="shared" si="8"/>
        <v>0</v>
      </c>
      <c r="CX11" s="46">
        <f t="shared" si="8"/>
        <v>0</v>
      </c>
      <c r="CY11" s="46">
        <f t="shared" ref="CY11:DV11" si="9">CY6+CY9</f>
        <v>0</v>
      </c>
      <c r="CZ11" s="46">
        <f t="shared" si="9"/>
        <v>0</v>
      </c>
      <c r="DA11" s="46">
        <f t="shared" si="9"/>
        <v>0</v>
      </c>
      <c r="DB11" s="46">
        <f t="shared" si="9"/>
        <v>0</v>
      </c>
      <c r="DC11" s="46">
        <f t="shared" si="9"/>
        <v>0</v>
      </c>
      <c r="DD11" s="46">
        <f t="shared" si="9"/>
        <v>0</v>
      </c>
      <c r="DE11" s="46">
        <f t="shared" si="9"/>
        <v>0</v>
      </c>
      <c r="DF11" s="46">
        <f t="shared" si="9"/>
        <v>13767.641425</v>
      </c>
      <c r="DG11" s="46">
        <f t="shared" si="9"/>
        <v>0</v>
      </c>
      <c r="DH11" s="46">
        <f t="shared" si="9"/>
        <v>0</v>
      </c>
      <c r="DI11" s="46">
        <f t="shared" si="9"/>
        <v>0</v>
      </c>
      <c r="DJ11" s="46">
        <f t="shared" si="9"/>
        <v>28143.941225000002</v>
      </c>
      <c r="DK11" s="46">
        <f t="shared" si="9"/>
        <v>0</v>
      </c>
      <c r="DL11" s="46">
        <f>DL6+DL9</f>
        <v>0</v>
      </c>
      <c r="DM11" s="46">
        <f t="shared" si="9"/>
        <v>0</v>
      </c>
      <c r="DN11" s="46">
        <f t="shared" si="9"/>
        <v>0</v>
      </c>
      <c r="DO11" s="46">
        <f t="shared" si="9"/>
        <v>0</v>
      </c>
      <c r="DP11" s="46">
        <f t="shared" si="9"/>
        <v>10988.259461000001</v>
      </c>
      <c r="DQ11" s="46">
        <f t="shared" si="9"/>
        <v>0</v>
      </c>
      <c r="DR11" s="46">
        <f t="shared" si="9"/>
        <v>0</v>
      </c>
      <c r="DS11" s="46">
        <f t="shared" si="9"/>
        <v>10000</v>
      </c>
      <c r="DT11" s="46">
        <f t="shared" si="9"/>
        <v>0</v>
      </c>
      <c r="DU11" s="46">
        <f t="shared" si="9"/>
        <v>0</v>
      </c>
      <c r="DV11" s="46">
        <f t="shared" si="9"/>
        <v>8000</v>
      </c>
      <c r="DW11" s="46">
        <v>0</v>
      </c>
      <c r="DX11" s="47"/>
      <c r="DY11" s="47"/>
      <c r="DZ11" s="612"/>
      <c r="EA11" s="239"/>
      <c r="EB11" s="239"/>
      <c r="EC11" s="239"/>
      <c r="ER11" s="496"/>
    </row>
    <row r="12" spans="1:148" s="45" customFormat="1" ht="12.75" thickBot="1" x14ac:dyDescent="0.25">
      <c r="A12" s="1126"/>
      <c r="B12" s="1126"/>
      <c r="C12" s="1126"/>
      <c r="D12" s="1127">
        <v>219500000</v>
      </c>
      <c r="E12" s="1124" t="s">
        <v>206</v>
      </c>
      <c r="F12" s="48"/>
      <c r="G12" s="42">
        <f>G11</f>
        <v>5936.4696560000002</v>
      </c>
      <c r="H12" s="42">
        <f>G12+H11</f>
        <v>14009.907753</v>
      </c>
      <c r="I12" s="42">
        <f>H12+I11</f>
        <v>14009.907753</v>
      </c>
      <c r="J12" s="42">
        <f t="shared" ref="J12:BU12" si="10">I12+J11</f>
        <v>14009.907753</v>
      </c>
      <c r="K12" s="42">
        <f t="shared" si="10"/>
        <v>14009.907753</v>
      </c>
      <c r="L12" s="42">
        <f t="shared" si="10"/>
        <v>14009.907753</v>
      </c>
      <c r="M12" s="42">
        <f t="shared" si="10"/>
        <v>14009.907753</v>
      </c>
      <c r="N12" s="42">
        <f t="shared" si="10"/>
        <v>14009.907753</v>
      </c>
      <c r="O12" s="42">
        <f t="shared" si="10"/>
        <v>14009.907753</v>
      </c>
      <c r="P12" s="42">
        <f t="shared" si="10"/>
        <v>14009.907753</v>
      </c>
      <c r="Q12" s="42">
        <f t="shared" si="10"/>
        <v>14769.907753</v>
      </c>
      <c r="R12" s="42">
        <f t="shared" si="10"/>
        <v>14769.907753</v>
      </c>
      <c r="S12" s="42">
        <f t="shared" si="10"/>
        <v>14769.907753</v>
      </c>
      <c r="T12" s="42">
        <f t="shared" si="10"/>
        <v>14769.907753</v>
      </c>
      <c r="U12" s="42">
        <f t="shared" si="10"/>
        <v>14769.907753</v>
      </c>
      <c r="V12" s="42">
        <f t="shared" si="10"/>
        <v>16094.798026999999</v>
      </c>
      <c r="W12" s="42">
        <f t="shared" si="10"/>
        <v>17090.364472999998</v>
      </c>
      <c r="X12" s="42">
        <f t="shared" si="10"/>
        <v>17588.147695999996</v>
      </c>
      <c r="Y12" s="42">
        <f t="shared" si="10"/>
        <v>17588.147695999996</v>
      </c>
      <c r="Z12" s="42">
        <f>Y12+Z11</f>
        <v>18583.714141999997</v>
      </c>
      <c r="AA12" s="42">
        <f t="shared" si="10"/>
        <v>19579.280587999998</v>
      </c>
      <c r="AB12" s="42">
        <f t="shared" si="10"/>
        <v>20077.063810999996</v>
      </c>
      <c r="AC12" s="42">
        <f t="shared" si="10"/>
        <v>20574.847033999995</v>
      </c>
      <c r="AD12" s="42">
        <f t="shared" si="10"/>
        <v>27898.680669999994</v>
      </c>
      <c r="AE12" s="42">
        <f t="shared" si="10"/>
        <v>27898.680669999994</v>
      </c>
      <c r="AF12" s="42">
        <f t="shared" si="10"/>
        <v>27898.680669999994</v>
      </c>
      <c r="AG12" s="42">
        <f t="shared" si="10"/>
        <v>29752.680669999994</v>
      </c>
      <c r="AH12" s="42">
        <f t="shared" si="10"/>
        <v>30679.680669999994</v>
      </c>
      <c r="AI12" s="42">
        <f t="shared" si="10"/>
        <v>32533.680669999994</v>
      </c>
      <c r="AJ12" s="42">
        <f t="shared" si="10"/>
        <v>32533.680669999994</v>
      </c>
      <c r="AK12" s="42">
        <f t="shared" si="10"/>
        <v>34387.680669999994</v>
      </c>
      <c r="AL12" s="42">
        <f t="shared" si="10"/>
        <v>35314.680669999994</v>
      </c>
      <c r="AM12" s="42">
        <f t="shared" si="10"/>
        <v>54073.086566999991</v>
      </c>
      <c r="AN12" s="42">
        <f t="shared" si="10"/>
        <v>55000.086566999991</v>
      </c>
      <c r="AO12" s="42">
        <f t="shared" si="10"/>
        <v>55305.289540999991</v>
      </c>
      <c r="AP12" s="42">
        <f t="shared" si="10"/>
        <v>62886.366605999989</v>
      </c>
      <c r="AQ12" s="42">
        <f t="shared" si="10"/>
        <v>62886.366605999989</v>
      </c>
      <c r="AR12" s="42">
        <f t="shared" si="10"/>
        <v>63843.866605999989</v>
      </c>
      <c r="AS12" s="42">
        <f t="shared" si="10"/>
        <v>65758.866605999996</v>
      </c>
      <c r="AT12" s="42">
        <f t="shared" si="10"/>
        <v>83444.870663999987</v>
      </c>
      <c r="AU12" s="42">
        <f t="shared" si="10"/>
        <v>85645.370663999987</v>
      </c>
      <c r="AV12" s="42">
        <f t="shared" si="10"/>
        <v>86602.870663999987</v>
      </c>
      <c r="AW12" s="42">
        <f t="shared" si="10"/>
        <v>87560.370663999987</v>
      </c>
      <c r="AX12" s="42">
        <f t="shared" si="10"/>
        <v>87560.370663999987</v>
      </c>
      <c r="AY12" s="42">
        <f t="shared" si="10"/>
        <v>89475.370663999987</v>
      </c>
      <c r="AZ12" s="42">
        <f t="shared" si="10"/>
        <v>98474.461041907984</v>
      </c>
      <c r="BA12" s="42">
        <f t="shared" si="10"/>
        <v>98474.461041907984</v>
      </c>
      <c r="BB12" s="42">
        <f t="shared" si="10"/>
        <v>100389.46104190798</v>
      </c>
      <c r="BC12" s="42">
        <f t="shared" si="10"/>
        <v>100389.46104190798</v>
      </c>
      <c r="BD12" s="42">
        <f t="shared" si="10"/>
        <v>100389.46104190798</v>
      </c>
      <c r="BE12" s="42">
        <f t="shared" si="10"/>
        <v>103322.96104090799</v>
      </c>
      <c r="BF12" s="42">
        <f t="shared" si="10"/>
        <v>103322.96104090799</v>
      </c>
      <c r="BG12" s="42">
        <f t="shared" si="10"/>
        <v>105278.627706908</v>
      </c>
      <c r="BH12" s="42">
        <f t="shared" si="10"/>
        <v>106256.461039908</v>
      </c>
      <c r="BI12" s="42">
        <f t="shared" si="10"/>
        <v>107234.294372908</v>
      </c>
      <c r="BJ12" s="42">
        <f t="shared" si="10"/>
        <v>119585.615730348</v>
      </c>
      <c r="BK12" s="42">
        <f t="shared" si="10"/>
        <v>119585.615730348</v>
      </c>
      <c r="BL12" s="42">
        <f t="shared" si="10"/>
        <v>125273.567398908</v>
      </c>
      <c r="BM12" s="42">
        <f t="shared" si="10"/>
        <v>125273.567398908</v>
      </c>
      <c r="BN12" s="42">
        <f t="shared" si="10"/>
        <v>135273.567398908</v>
      </c>
      <c r="BO12" s="42">
        <f t="shared" si="10"/>
        <v>135273.567398908</v>
      </c>
      <c r="BP12" s="42">
        <f t="shared" si="10"/>
        <v>135273.567398908</v>
      </c>
      <c r="BQ12" s="42">
        <f t="shared" si="10"/>
        <v>135273.567398908</v>
      </c>
      <c r="BR12" s="42">
        <f t="shared" si="10"/>
        <v>135273.567398908</v>
      </c>
      <c r="BS12" s="42">
        <f t="shared" si="10"/>
        <v>141738.00800090798</v>
      </c>
      <c r="BT12" s="42">
        <f t="shared" si="10"/>
        <v>141738.00800090798</v>
      </c>
      <c r="BU12" s="42">
        <f t="shared" si="10"/>
        <v>141738.00800090798</v>
      </c>
      <c r="BV12" s="42">
        <f t="shared" ref="BV12:CK12" si="11">BU12+BV11</f>
        <v>141738.00800090798</v>
      </c>
      <c r="BW12" s="42">
        <f t="shared" si="11"/>
        <v>160527.00800090798</v>
      </c>
      <c r="BX12" s="42">
        <f t="shared" si="11"/>
        <v>160527.00800090798</v>
      </c>
      <c r="BY12" s="42">
        <f t="shared" si="11"/>
        <v>166991.44860190799</v>
      </c>
      <c r="BZ12" s="42">
        <f t="shared" si="11"/>
        <v>166991.44860190799</v>
      </c>
      <c r="CA12" s="42">
        <f t="shared" si="11"/>
        <v>166991.44860190799</v>
      </c>
      <c r="CB12" s="42">
        <f t="shared" si="11"/>
        <v>166991.44860190799</v>
      </c>
      <c r="CC12" s="42">
        <f t="shared" si="11"/>
        <v>166991.44860190799</v>
      </c>
      <c r="CD12" s="42">
        <f t="shared" si="11"/>
        <v>166991.44860190799</v>
      </c>
      <c r="CE12" s="42">
        <f t="shared" si="11"/>
        <v>166991.44860190799</v>
      </c>
      <c r="CF12" s="42">
        <f t="shared" si="11"/>
        <v>169991.44860190799</v>
      </c>
      <c r="CG12" s="42">
        <f t="shared" si="11"/>
        <v>169991.44860190799</v>
      </c>
      <c r="CH12" s="42">
        <f t="shared" si="11"/>
        <v>169991.44860190799</v>
      </c>
      <c r="CI12" s="42">
        <f t="shared" si="11"/>
        <v>169991.44860190799</v>
      </c>
      <c r="CJ12" s="42">
        <f>CI12+CJ11</f>
        <v>171691.44860190799</v>
      </c>
      <c r="CK12" s="42">
        <f t="shared" si="11"/>
        <v>171691.44860190799</v>
      </c>
      <c r="CL12" s="42">
        <f t="shared" ref="CL12:DW12" si="12">CK12+CL11</f>
        <v>171691.44860190799</v>
      </c>
      <c r="CM12" s="42">
        <f t="shared" si="12"/>
        <v>171691.44860190799</v>
      </c>
      <c r="CN12" s="42">
        <f t="shared" si="12"/>
        <v>182691.44860190799</v>
      </c>
      <c r="CO12" s="42">
        <f t="shared" si="12"/>
        <v>182691.44860190799</v>
      </c>
      <c r="CP12" s="42">
        <f t="shared" si="12"/>
        <v>182691.44860190799</v>
      </c>
      <c r="CQ12" s="42">
        <f t="shared" si="12"/>
        <v>182691.44860190799</v>
      </c>
      <c r="CR12" s="42">
        <f t="shared" si="12"/>
        <v>182691.44860190799</v>
      </c>
      <c r="CS12" s="42">
        <f t="shared" si="12"/>
        <v>182691.44860190799</v>
      </c>
      <c r="CT12" s="42">
        <f t="shared" si="12"/>
        <v>183254.44860190799</v>
      </c>
      <c r="CU12" s="42">
        <f t="shared" si="12"/>
        <v>183254.44860190799</v>
      </c>
      <c r="CV12" s="42">
        <f t="shared" si="12"/>
        <v>188518.80717690798</v>
      </c>
      <c r="CW12" s="42">
        <f t="shared" si="12"/>
        <v>188518.80717690798</v>
      </c>
      <c r="CX12" s="42">
        <f t="shared" si="12"/>
        <v>188518.80717690798</v>
      </c>
      <c r="CY12" s="42">
        <f t="shared" si="12"/>
        <v>188518.80717690798</v>
      </c>
      <c r="CZ12" s="42">
        <f t="shared" si="12"/>
        <v>188518.80717690798</v>
      </c>
      <c r="DA12" s="42">
        <f>CZ12+DA11</f>
        <v>188518.80717690798</v>
      </c>
      <c r="DB12" s="42">
        <f t="shared" si="12"/>
        <v>188518.80717690798</v>
      </c>
      <c r="DC12" s="42">
        <f t="shared" si="12"/>
        <v>188518.80717690798</v>
      </c>
      <c r="DD12" s="42">
        <f t="shared" si="12"/>
        <v>188518.80717690798</v>
      </c>
      <c r="DE12" s="42">
        <f t="shared" si="12"/>
        <v>188518.80717690798</v>
      </c>
      <c r="DF12" s="42">
        <f t="shared" si="12"/>
        <v>202286.44860190799</v>
      </c>
      <c r="DG12" s="42">
        <f t="shared" si="12"/>
        <v>202286.44860190799</v>
      </c>
      <c r="DH12" s="42">
        <f t="shared" si="12"/>
        <v>202286.44860190799</v>
      </c>
      <c r="DI12" s="42">
        <f t="shared" si="12"/>
        <v>202286.44860190799</v>
      </c>
      <c r="DJ12" s="42">
        <f t="shared" si="12"/>
        <v>230430.38982690801</v>
      </c>
      <c r="DK12" s="42">
        <f t="shared" si="12"/>
        <v>230430.38982690801</v>
      </c>
      <c r="DL12" s="42">
        <f t="shared" si="12"/>
        <v>230430.38982690801</v>
      </c>
      <c r="DM12" s="42">
        <f t="shared" si="12"/>
        <v>230430.38982690801</v>
      </c>
      <c r="DN12" s="42">
        <f t="shared" si="12"/>
        <v>230430.38982690801</v>
      </c>
      <c r="DO12" s="42">
        <f t="shared" si="12"/>
        <v>230430.38982690801</v>
      </c>
      <c r="DP12" s="42">
        <f t="shared" si="12"/>
        <v>241418.64928790802</v>
      </c>
      <c r="DQ12" s="42">
        <f t="shared" si="12"/>
        <v>241418.64928790802</v>
      </c>
      <c r="DR12" s="42">
        <f t="shared" si="12"/>
        <v>241418.64928790802</v>
      </c>
      <c r="DS12" s="42">
        <f t="shared" si="12"/>
        <v>251418.64928790802</v>
      </c>
      <c r="DT12" s="42">
        <f t="shared" si="12"/>
        <v>251418.64928790802</v>
      </c>
      <c r="DU12" s="42">
        <f t="shared" si="12"/>
        <v>251418.64928790802</v>
      </c>
      <c r="DV12" s="42">
        <f t="shared" si="12"/>
        <v>259418.64928790802</v>
      </c>
      <c r="DW12" s="42">
        <f t="shared" si="12"/>
        <v>259418.64928790802</v>
      </c>
      <c r="DX12" s="47"/>
      <c r="DY12" s="648">
        <f>+DW6/DW12</f>
        <v>0.72378734285029689</v>
      </c>
      <c r="DZ12" s="575"/>
      <c r="EA12" s="575"/>
      <c r="EB12" s="239"/>
      <c r="EC12" s="239"/>
      <c r="ER12" s="496"/>
    </row>
    <row r="13" spans="1:148" s="723" customFormat="1" ht="15.75" customHeight="1" thickBot="1" x14ac:dyDescent="0.25">
      <c r="D13" s="724">
        <f>+D12/D136</f>
        <v>8.7195094218247907E-2</v>
      </c>
      <c r="F13" s="725"/>
      <c r="AD13" s="725"/>
      <c r="AJ13" s="725"/>
      <c r="AK13" s="726"/>
      <c r="AN13" s="727"/>
      <c r="AO13" s="728"/>
      <c r="AP13" s="729"/>
      <c r="AQ13" s="729"/>
      <c r="AR13" s="730"/>
      <c r="AX13" s="725"/>
      <c r="AY13" s="730"/>
      <c r="AZ13" s="730"/>
      <c r="BA13" s="720"/>
      <c r="BB13" s="728"/>
      <c r="BC13" s="721"/>
      <c r="BD13" s="729"/>
      <c r="BF13" s="725"/>
      <c r="BH13" s="725"/>
      <c r="BI13" s="725"/>
      <c r="BM13" s="725"/>
      <c r="BP13" s="725"/>
      <c r="CJ13" s="731"/>
      <c r="CK13" s="732"/>
      <c r="CL13" s="733"/>
      <c r="CP13" s="733"/>
      <c r="CQ13" s="733"/>
      <c r="CR13" s="731"/>
      <c r="CS13" s="734"/>
      <c r="CT13" s="1122"/>
      <c r="CU13" s="725"/>
      <c r="CV13" s="722"/>
      <c r="CW13" s="722"/>
      <c r="CX13" s="722"/>
      <c r="CY13" s="725"/>
      <c r="CZ13" s="725"/>
      <c r="DA13" s="725"/>
      <c r="DD13" s="725"/>
      <c r="DE13" s="725"/>
      <c r="DF13" s="769"/>
      <c r="DG13" s="769"/>
      <c r="DH13" s="769"/>
      <c r="DK13" s="725"/>
      <c r="DL13" s="725"/>
      <c r="DY13" s="725"/>
      <c r="DZ13" s="735"/>
      <c r="EA13" s="736"/>
      <c r="EB13" s="736"/>
      <c r="EC13" s="736"/>
      <c r="ER13" s="737"/>
    </row>
    <row r="14" spans="1:148" s="32" customFormat="1" ht="16.5" thickTop="1" thickBot="1" x14ac:dyDescent="0.3">
      <c r="F14" s="49"/>
      <c r="G14" s="333">
        <f>YEAR(G15)</f>
        <v>2010</v>
      </c>
      <c r="H14" s="334">
        <f t="shared" ref="H14:BS14" si="13">YEAR(H15)</f>
        <v>2010</v>
      </c>
      <c r="I14" s="334">
        <f t="shared" si="13"/>
        <v>2010</v>
      </c>
      <c r="J14" s="334">
        <f t="shared" si="13"/>
        <v>2010</v>
      </c>
      <c r="K14" s="334">
        <f t="shared" si="13"/>
        <v>2010</v>
      </c>
      <c r="L14" s="334">
        <f t="shared" si="13"/>
        <v>2010</v>
      </c>
      <c r="M14" s="334">
        <f t="shared" si="13"/>
        <v>2010</v>
      </c>
      <c r="N14" s="334">
        <f t="shared" si="13"/>
        <v>2010</v>
      </c>
      <c r="O14" s="334">
        <f t="shared" si="13"/>
        <v>2010</v>
      </c>
      <c r="P14" s="334">
        <f t="shared" si="13"/>
        <v>2010</v>
      </c>
      <c r="Q14" s="334">
        <f t="shared" si="13"/>
        <v>2010</v>
      </c>
      <c r="R14" s="335">
        <f t="shared" si="13"/>
        <v>2010</v>
      </c>
      <c r="S14" s="336">
        <f t="shared" si="13"/>
        <v>2011</v>
      </c>
      <c r="T14" s="337">
        <f t="shared" si="13"/>
        <v>2011</v>
      </c>
      <c r="U14" s="337">
        <f t="shared" si="13"/>
        <v>2011</v>
      </c>
      <c r="V14" s="337">
        <f t="shared" si="13"/>
        <v>2011</v>
      </c>
      <c r="W14" s="337">
        <f t="shared" si="13"/>
        <v>2011</v>
      </c>
      <c r="X14" s="337">
        <f t="shared" si="13"/>
        <v>2011</v>
      </c>
      <c r="Y14" s="337">
        <f t="shared" si="13"/>
        <v>2011</v>
      </c>
      <c r="Z14" s="337">
        <f t="shared" si="13"/>
        <v>2011</v>
      </c>
      <c r="AA14" s="337">
        <f t="shared" si="13"/>
        <v>2011</v>
      </c>
      <c r="AB14" s="337">
        <f t="shared" si="13"/>
        <v>2011</v>
      </c>
      <c r="AC14" s="337">
        <f t="shared" si="13"/>
        <v>2011</v>
      </c>
      <c r="AD14" s="338">
        <f t="shared" si="13"/>
        <v>2011</v>
      </c>
      <c r="AE14" s="339">
        <f t="shared" si="13"/>
        <v>2012</v>
      </c>
      <c r="AF14" s="340">
        <f t="shared" si="13"/>
        <v>2012</v>
      </c>
      <c r="AG14" s="340">
        <f t="shared" si="13"/>
        <v>2012</v>
      </c>
      <c r="AH14" s="340">
        <f t="shared" si="13"/>
        <v>2012</v>
      </c>
      <c r="AI14" s="340">
        <f t="shared" si="13"/>
        <v>2012</v>
      </c>
      <c r="AJ14" s="340">
        <f t="shared" si="13"/>
        <v>2012</v>
      </c>
      <c r="AK14" s="340">
        <f t="shared" si="13"/>
        <v>2012</v>
      </c>
      <c r="AL14" s="340">
        <f t="shared" si="13"/>
        <v>2012</v>
      </c>
      <c r="AM14" s="340">
        <f t="shared" si="13"/>
        <v>2012</v>
      </c>
      <c r="AN14" s="340">
        <f t="shared" si="13"/>
        <v>2012</v>
      </c>
      <c r="AO14" s="340">
        <f t="shared" si="13"/>
        <v>2012</v>
      </c>
      <c r="AP14" s="341">
        <f t="shared" si="13"/>
        <v>2012</v>
      </c>
      <c r="AQ14" s="345">
        <f t="shared" si="13"/>
        <v>2013</v>
      </c>
      <c r="AR14" s="346">
        <f t="shared" si="13"/>
        <v>2013</v>
      </c>
      <c r="AS14" s="346">
        <f t="shared" si="13"/>
        <v>2013</v>
      </c>
      <c r="AT14" s="346">
        <f t="shared" si="13"/>
        <v>2013</v>
      </c>
      <c r="AU14" s="346">
        <f t="shared" si="13"/>
        <v>2013</v>
      </c>
      <c r="AV14" s="346">
        <f t="shared" si="13"/>
        <v>2013</v>
      </c>
      <c r="AW14" s="346">
        <f t="shared" si="13"/>
        <v>2013</v>
      </c>
      <c r="AX14" s="346">
        <f t="shared" si="13"/>
        <v>2013</v>
      </c>
      <c r="AY14" s="346">
        <f t="shared" si="13"/>
        <v>2013</v>
      </c>
      <c r="AZ14" s="346">
        <f t="shared" si="13"/>
        <v>2013</v>
      </c>
      <c r="BA14" s="346">
        <f t="shared" si="13"/>
        <v>2013</v>
      </c>
      <c r="BB14" s="347">
        <f t="shared" si="13"/>
        <v>2013</v>
      </c>
      <c r="BC14" s="342">
        <f t="shared" si="13"/>
        <v>2014</v>
      </c>
      <c r="BD14" s="343">
        <f t="shared" si="13"/>
        <v>2014</v>
      </c>
      <c r="BE14" s="343">
        <f t="shared" si="13"/>
        <v>2014</v>
      </c>
      <c r="BF14" s="343">
        <f t="shared" si="13"/>
        <v>2014</v>
      </c>
      <c r="BG14" s="343">
        <f t="shared" si="13"/>
        <v>2014</v>
      </c>
      <c r="BH14" s="343">
        <f t="shared" si="13"/>
        <v>2014</v>
      </c>
      <c r="BI14" s="343">
        <f t="shared" si="13"/>
        <v>2014</v>
      </c>
      <c r="BJ14" s="343">
        <f t="shared" si="13"/>
        <v>2014</v>
      </c>
      <c r="BK14" s="343">
        <f t="shared" si="13"/>
        <v>2014</v>
      </c>
      <c r="BL14" s="343">
        <f t="shared" si="13"/>
        <v>2014</v>
      </c>
      <c r="BM14" s="343">
        <f t="shared" si="13"/>
        <v>2014</v>
      </c>
      <c r="BN14" s="344">
        <f t="shared" si="13"/>
        <v>2014</v>
      </c>
      <c r="BO14" s="348">
        <f t="shared" si="13"/>
        <v>2015</v>
      </c>
      <c r="BP14" s="349">
        <f t="shared" si="13"/>
        <v>2015</v>
      </c>
      <c r="BQ14" s="349">
        <f t="shared" si="13"/>
        <v>2015</v>
      </c>
      <c r="BR14" s="349">
        <f t="shared" si="13"/>
        <v>2015</v>
      </c>
      <c r="BS14" s="349">
        <f t="shared" si="13"/>
        <v>2015</v>
      </c>
      <c r="BT14" s="349">
        <f t="shared" ref="BT14:DJ14" si="14">YEAR(BT15)</f>
        <v>2015</v>
      </c>
      <c r="BU14" s="349">
        <f t="shared" si="14"/>
        <v>2015</v>
      </c>
      <c r="BV14" s="349">
        <f t="shared" si="14"/>
        <v>2015</v>
      </c>
      <c r="BW14" s="349">
        <f t="shared" si="14"/>
        <v>2015</v>
      </c>
      <c r="BX14" s="349">
        <f t="shared" si="14"/>
        <v>2015</v>
      </c>
      <c r="BY14" s="349">
        <f t="shared" si="14"/>
        <v>2015</v>
      </c>
      <c r="BZ14" s="350">
        <f t="shared" si="14"/>
        <v>2015</v>
      </c>
      <c r="CA14" s="351">
        <f t="shared" si="14"/>
        <v>2016</v>
      </c>
      <c r="CB14" s="352">
        <f t="shared" si="14"/>
        <v>2016</v>
      </c>
      <c r="CC14" s="352">
        <f t="shared" si="14"/>
        <v>2016</v>
      </c>
      <c r="CD14" s="352">
        <f t="shared" si="14"/>
        <v>2016</v>
      </c>
      <c r="CE14" s="352">
        <f t="shared" si="14"/>
        <v>2016</v>
      </c>
      <c r="CF14" s="352">
        <f t="shared" si="14"/>
        <v>2016</v>
      </c>
      <c r="CG14" s="352">
        <f t="shared" si="14"/>
        <v>2016</v>
      </c>
      <c r="CH14" s="352">
        <f t="shared" si="14"/>
        <v>2016</v>
      </c>
      <c r="CI14" s="352">
        <f t="shared" si="14"/>
        <v>2016</v>
      </c>
      <c r="CJ14" s="352">
        <f t="shared" si="14"/>
        <v>2016</v>
      </c>
      <c r="CK14" s="352">
        <f t="shared" si="14"/>
        <v>2016</v>
      </c>
      <c r="CL14" s="353">
        <f t="shared" si="14"/>
        <v>2016</v>
      </c>
      <c r="CM14" s="369">
        <f t="shared" si="14"/>
        <v>2017</v>
      </c>
      <c r="CN14" s="370">
        <f t="shared" si="14"/>
        <v>2017</v>
      </c>
      <c r="CO14" s="370">
        <f t="shared" si="14"/>
        <v>2017</v>
      </c>
      <c r="CP14" s="370">
        <f t="shared" si="14"/>
        <v>2017</v>
      </c>
      <c r="CQ14" s="370">
        <f t="shared" si="14"/>
        <v>2017</v>
      </c>
      <c r="CR14" s="370">
        <f t="shared" si="14"/>
        <v>2017</v>
      </c>
      <c r="CS14" s="370">
        <f t="shared" si="14"/>
        <v>2017</v>
      </c>
      <c r="CT14" s="370">
        <f t="shared" si="14"/>
        <v>2017</v>
      </c>
      <c r="CU14" s="370">
        <f t="shared" si="14"/>
        <v>2017</v>
      </c>
      <c r="CV14" s="370">
        <f t="shared" si="14"/>
        <v>2017</v>
      </c>
      <c r="CW14" s="370">
        <f t="shared" si="14"/>
        <v>2017</v>
      </c>
      <c r="CX14" s="371">
        <f t="shared" si="14"/>
        <v>2017</v>
      </c>
      <c r="CY14" s="504">
        <f t="shared" si="14"/>
        <v>2018</v>
      </c>
      <c r="CZ14" s="504">
        <f t="shared" si="14"/>
        <v>2018</v>
      </c>
      <c r="DA14" s="504">
        <f t="shared" si="14"/>
        <v>2018</v>
      </c>
      <c r="DB14" s="504">
        <f t="shared" si="14"/>
        <v>2018</v>
      </c>
      <c r="DC14" s="504">
        <f t="shared" si="14"/>
        <v>2018</v>
      </c>
      <c r="DD14" s="504">
        <f t="shared" si="14"/>
        <v>2018</v>
      </c>
      <c r="DE14" s="504">
        <f t="shared" si="14"/>
        <v>2018</v>
      </c>
      <c r="DF14" s="504">
        <f t="shared" si="14"/>
        <v>2018</v>
      </c>
      <c r="DG14" s="504">
        <f t="shared" si="14"/>
        <v>2018</v>
      </c>
      <c r="DH14" s="504">
        <f t="shared" si="14"/>
        <v>2018</v>
      </c>
      <c r="DI14" s="504">
        <f t="shared" si="14"/>
        <v>2018</v>
      </c>
      <c r="DJ14" s="503">
        <f t="shared" si="14"/>
        <v>2018</v>
      </c>
      <c r="DK14" s="508">
        <v>2019</v>
      </c>
      <c r="DL14" s="508">
        <v>2019</v>
      </c>
      <c r="DM14" s="508">
        <v>2019</v>
      </c>
      <c r="DN14" s="508">
        <v>2019</v>
      </c>
      <c r="DO14" s="508">
        <v>2019</v>
      </c>
      <c r="DP14" s="508">
        <v>2019</v>
      </c>
      <c r="DQ14" s="508">
        <v>2019</v>
      </c>
      <c r="DR14" s="508">
        <v>2019</v>
      </c>
      <c r="DS14" s="508">
        <v>2019</v>
      </c>
      <c r="DT14" s="508">
        <v>2019</v>
      </c>
      <c r="DU14" s="508">
        <v>2019</v>
      </c>
      <c r="DV14" s="508">
        <v>2019</v>
      </c>
      <c r="DW14" s="50"/>
      <c r="DY14" s="47">
        <f>+DW10+DW9</f>
        <v>71654.714434000009</v>
      </c>
      <c r="DZ14" s="648">
        <f>+DY14/DW12</f>
        <v>0.27621265714970311</v>
      </c>
      <c r="EA14" s="238"/>
      <c r="EB14" s="238"/>
      <c r="EC14" s="238"/>
      <c r="ER14" s="486"/>
    </row>
    <row r="15" spans="1:148" s="32" customFormat="1" ht="15.75" customHeight="1" outlineLevel="1" thickBot="1" x14ac:dyDescent="0.3">
      <c r="A15" s="438" t="s">
        <v>367</v>
      </c>
      <c r="B15" s="439" t="s">
        <v>156</v>
      </c>
      <c r="C15" s="439"/>
      <c r="D15" s="695" t="s">
        <v>207</v>
      </c>
      <c r="E15" s="439" t="s">
        <v>208</v>
      </c>
      <c r="F15" s="440"/>
      <c r="G15" s="441">
        <v>40179</v>
      </c>
      <c r="H15" s="442">
        <v>40210</v>
      </c>
      <c r="I15" s="442">
        <v>40238</v>
      </c>
      <c r="J15" s="442">
        <v>40269</v>
      </c>
      <c r="K15" s="442">
        <v>40299</v>
      </c>
      <c r="L15" s="442">
        <v>40330</v>
      </c>
      <c r="M15" s="442">
        <v>40360</v>
      </c>
      <c r="N15" s="442">
        <v>40391</v>
      </c>
      <c r="O15" s="442">
        <v>40422</v>
      </c>
      <c r="P15" s="442">
        <v>40452</v>
      </c>
      <c r="Q15" s="442">
        <v>40483</v>
      </c>
      <c r="R15" s="443">
        <v>40513</v>
      </c>
      <c r="S15" s="444">
        <v>40544</v>
      </c>
      <c r="T15" s="445">
        <v>40575</v>
      </c>
      <c r="U15" s="445">
        <v>40603</v>
      </c>
      <c r="V15" s="445">
        <v>40634</v>
      </c>
      <c r="W15" s="445">
        <v>40664</v>
      </c>
      <c r="X15" s="445">
        <v>40695</v>
      </c>
      <c r="Y15" s="445">
        <v>40725</v>
      </c>
      <c r="Z15" s="445">
        <v>40756</v>
      </c>
      <c r="AA15" s="445">
        <v>40787</v>
      </c>
      <c r="AB15" s="445">
        <v>40817</v>
      </c>
      <c r="AC15" s="445">
        <v>40848</v>
      </c>
      <c r="AD15" s="446">
        <v>40878</v>
      </c>
      <c r="AE15" s="444">
        <v>40909</v>
      </c>
      <c r="AF15" s="445">
        <v>40940</v>
      </c>
      <c r="AG15" s="445">
        <v>40969</v>
      </c>
      <c r="AH15" s="445">
        <v>41000</v>
      </c>
      <c r="AI15" s="445">
        <v>41030</v>
      </c>
      <c r="AJ15" s="445">
        <v>41061</v>
      </c>
      <c r="AK15" s="445">
        <v>41091</v>
      </c>
      <c r="AL15" s="445">
        <v>41122</v>
      </c>
      <c r="AM15" s="445">
        <v>41153</v>
      </c>
      <c r="AN15" s="445">
        <v>41183</v>
      </c>
      <c r="AO15" s="445">
        <v>41214</v>
      </c>
      <c r="AP15" s="446">
        <v>41244</v>
      </c>
      <c r="AQ15" s="441">
        <v>41275</v>
      </c>
      <c r="AR15" s="442">
        <v>41306</v>
      </c>
      <c r="AS15" s="442">
        <v>41334</v>
      </c>
      <c r="AT15" s="442">
        <v>41365</v>
      </c>
      <c r="AU15" s="442">
        <v>41395</v>
      </c>
      <c r="AV15" s="442">
        <v>41426</v>
      </c>
      <c r="AW15" s="442">
        <v>41456</v>
      </c>
      <c r="AX15" s="442">
        <v>41487</v>
      </c>
      <c r="AY15" s="442">
        <v>41518</v>
      </c>
      <c r="AZ15" s="442">
        <v>41548</v>
      </c>
      <c r="BA15" s="442">
        <v>41579</v>
      </c>
      <c r="BB15" s="443">
        <v>41609</v>
      </c>
      <c r="BC15" s="444">
        <v>41640</v>
      </c>
      <c r="BD15" s="445">
        <v>41671</v>
      </c>
      <c r="BE15" s="445">
        <v>41699</v>
      </c>
      <c r="BF15" s="445">
        <v>41730</v>
      </c>
      <c r="BG15" s="445">
        <v>41760</v>
      </c>
      <c r="BH15" s="445">
        <v>41791</v>
      </c>
      <c r="BI15" s="445">
        <v>41821</v>
      </c>
      <c r="BJ15" s="445">
        <v>41852</v>
      </c>
      <c r="BK15" s="445">
        <v>41883</v>
      </c>
      <c r="BL15" s="445">
        <v>41913</v>
      </c>
      <c r="BM15" s="445">
        <v>41944</v>
      </c>
      <c r="BN15" s="446">
        <v>41974</v>
      </c>
      <c r="BO15" s="444">
        <v>42005</v>
      </c>
      <c r="BP15" s="445">
        <v>42036</v>
      </c>
      <c r="BQ15" s="445">
        <v>42064</v>
      </c>
      <c r="BR15" s="445">
        <v>42095</v>
      </c>
      <c r="BS15" s="445">
        <v>42125</v>
      </c>
      <c r="BT15" s="445">
        <v>42156</v>
      </c>
      <c r="BU15" s="445">
        <v>42186</v>
      </c>
      <c r="BV15" s="445">
        <v>42217</v>
      </c>
      <c r="BW15" s="445">
        <v>42248</v>
      </c>
      <c r="BX15" s="445">
        <v>42278</v>
      </c>
      <c r="BY15" s="445">
        <v>42309</v>
      </c>
      <c r="BZ15" s="446">
        <v>42339</v>
      </c>
      <c r="CA15" s="441">
        <v>42370</v>
      </c>
      <c r="CB15" s="442">
        <v>42401</v>
      </c>
      <c r="CC15" s="442">
        <v>42430</v>
      </c>
      <c r="CD15" s="442">
        <v>42461</v>
      </c>
      <c r="CE15" s="442">
        <v>42491</v>
      </c>
      <c r="CF15" s="442">
        <v>42522</v>
      </c>
      <c r="CG15" s="442">
        <v>42552</v>
      </c>
      <c r="CH15" s="442">
        <v>42583</v>
      </c>
      <c r="CI15" s="442">
        <v>42614</v>
      </c>
      <c r="CJ15" s="442">
        <v>42644</v>
      </c>
      <c r="CK15" s="442">
        <v>42675</v>
      </c>
      <c r="CL15" s="443">
        <v>42705</v>
      </c>
      <c r="CM15" s="441">
        <v>42736</v>
      </c>
      <c r="CN15" s="442">
        <v>42767</v>
      </c>
      <c r="CO15" s="442">
        <v>42795</v>
      </c>
      <c r="CP15" s="442">
        <v>42826</v>
      </c>
      <c r="CQ15" s="442">
        <v>42856</v>
      </c>
      <c r="CR15" s="442">
        <v>42887</v>
      </c>
      <c r="CS15" s="442">
        <v>42917</v>
      </c>
      <c r="CT15" s="442">
        <v>42948</v>
      </c>
      <c r="CU15" s="442">
        <v>42979</v>
      </c>
      <c r="CV15" s="442">
        <v>43009</v>
      </c>
      <c r="CW15" s="442">
        <v>43040</v>
      </c>
      <c r="CX15" s="443">
        <v>43070</v>
      </c>
      <c r="CY15" s="442">
        <v>43101</v>
      </c>
      <c r="CZ15" s="442">
        <v>43132</v>
      </c>
      <c r="DA15" s="442">
        <v>43160</v>
      </c>
      <c r="DB15" s="442">
        <v>43191</v>
      </c>
      <c r="DC15" s="442">
        <v>43221</v>
      </c>
      <c r="DD15" s="442">
        <v>43252</v>
      </c>
      <c r="DE15" s="442">
        <v>43282</v>
      </c>
      <c r="DF15" s="442">
        <v>43313</v>
      </c>
      <c r="DG15" s="442">
        <v>43344</v>
      </c>
      <c r="DH15" s="442">
        <v>43374</v>
      </c>
      <c r="DI15" s="442">
        <v>43405</v>
      </c>
      <c r="DJ15" s="462">
        <v>43435</v>
      </c>
      <c r="DK15" s="462">
        <v>43466</v>
      </c>
      <c r="DL15" s="462">
        <v>43497</v>
      </c>
      <c r="DM15" s="462">
        <v>43525</v>
      </c>
      <c r="DN15" s="462">
        <v>43556</v>
      </c>
      <c r="DO15" s="462">
        <v>43586</v>
      </c>
      <c r="DP15" s="462">
        <v>43617</v>
      </c>
      <c r="DQ15" s="462">
        <v>43647</v>
      </c>
      <c r="DR15" s="462">
        <v>43678</v>
      </c>
      <c r="DS15" s="462">
        <v>43709</v>
      </c>
      <c r="DT15" s="462">
        <v>43739</v>
      </c>
      <c r="DU15" s="462">
        <v>43770</v>
      </c>
      <c r="DV15" s="462">
        <v>43800</v>
      </c>
      <c r="DW15" s="470" t="s">
        <v>202</v>
      </c>
      <c r="DX15" s="76"/>
      <c r="DY15" s="661">
        <f>+DX382</f>
        <v>0</v>
      </c>
      <c r="DZ15" s="532"/>
      <c r="EA15" s="328" t="s">
        <v>411</v>
      </c>
      <c r="EB15" s="328" t="s">
        <v>412</v>
      </c>
      <c r="EC15" s="328" t="s">
        <v>360</v>
      </c>
      <c r="ED15" s="328" t="s">
        <v>413</v>
      </c>
      <c r="EE15" s="328" t="s">
        <v>414</v>
      </c>
      <c r="EF15" s="328" t="s">
        <v>361</v>
      </c>
      <c r="ER15" s="486"/>
    </row>
    <row r="16" spans="1:148" s="278" customFormat="1" ht="24" outlineLevel="2" x14ac:dyDescent="0.2">
      <c r="A16" s="892"/>
      <c r="B16" s="897" t="s">
        <v>160</v>
      </c>
      <c r="C16" s="902"/>
      <c r="D16" s="1056">
        <f>+'Detalle Plan de Adquisiciones'!M75</f>
        <v>16371206849.919767</v>
      </c>
      <c r="E16" s="866" t="s">
        <v>349</v>
      </c>
      <c r="F16" s="526" t="s">
        <v>410</v>
      </c>
      <c r="G16" s="529">
        <v>0</v>
      </c>
      <c r="H16" s="354">
        <v>0</v>
      </c>
      <c r="I16" s="354">
        <v>0</v>
      </c>
      <c r="J16" s="354">
        <v>0</v>
      </c>
      <c r="K16" s="354">
        <v>0</v>
      </c>
      <c r="L16" s="354">
        <v>0</v>
      </c>
      <c r="M16" s="354">
        <v>0</v>
      </c>
      <c r="N16" s="354">
        <v>0</v>
      </c>
      <c r="O16" s="354">
        <v>0</v>
      </c>
      <c r="P16" s="354">
        <v>0</v>
      </c>
      <c r="Q16" s="354">
        <v>0</v>
      </c>
      <c r="R16" s="354">
        <v>0</v>
      </c>
      <c r="S16" s="354">
        <v>0</v>
      </c>
      <c r="T16" s="354">
        <v>0</v>
      </c>
      <c r="U16" s="354">
        <v>0</v>
      </c>
      <c r="V16" s="354">
        <v>0</v>
      </c>
      <c r="W16" s="354">
        <v>0</v>
      </c>
      <c r="X16" s="354">
        <v>0</v>
      </c>
      <c r="Y16" s="354">
        <v>0</v>
      </c>
      <c r="Z16" s="354"/>
      <c r="AA16" s="354">
        <v>0</v>
      </c>
      <c r="AB16" s="354">
        <v>0</v>
      </c>
      <c r="AC16" s="354">
        <v>0</v>
      </c>
      <c r="AD16" s="354">
        <v>0</v>
      </c>
      <c r="AE16" s="354">
        <v>0</v>
      </c>
      <c r="AF16" s="354">
        <v>0</v>
      </c>
      <c r="AG16" s="354">
        <v>0</v>
      </c>
      <c r="AH16" s="354">
        <v>0</v>
      </c>
      <c r="AI16" s="354">
        <v>0</v>
      </c>
      <c r="AJ16" s="354">
        <v>0</v>
      </c>
      <c r="AK16" s="354">
        <v>0</v>
      </c>
      <c r="AL16" s="354">
        <v>0</v>
      </c>
      <c r="AM16" s="354">
        <v>0</v>
      </c>
      <c r="AN16" s="354">
        <v>0</v>
      </c>
      <c r="AO16" s="354">
        <v>0</v>
      </c>
      <c r="AP16" s="354">
        <v>0</v>
      </c>
      <c r="AQ16" s="354">
        <v>0</v>
      </c>
      <c r="AR16" s="354">
        <v>0</v>
      </c>
      <c r="AS16" s="354">
        <v>0</v>
      </c>
      <c r="AT16" s="354">
        <v>0</v>
      </c>
      <c r="AU16" s="354">
        <v>0</v>
      </c>
      <c r="AV16" s="354">
        <v>0</v>
      </c>
      <c r="AW16" s="354">
        <v>0</v>
      </c>
      <c r="AX16" s="354">
        <v>0</v>
      </c>
      <c r="AY16" s="354">
        <v>0</v>
      </c>
      <c r="AZ16" s="354">
        <v>0</v>
      </c>
      <c r="BA16" s="354">
        <v>0</v>
      </c>
      <c r="BB16" s="354">
        <v>0</v>
      </c>
      <c r="BC16" s="354">
        <v>0</v>
      </c>
      <c r="BD16" s="354">
        <v>0</v>
      </c>
      <c r="BE16" s="354">
        <v>0</v>
      </c>
      <c r="BF16" s="354">
        <v>0</v>
      </c>
      <c r="BG16" s="354">
        <v>0</v>
      </c>
      <c r="BH16" s="354">
        <v>0</v>
      </c>
      <c r="BI16" s="354"/>
      <c r="BJ16" s="354">
        <v>0</v>
      </c>
      <c r="BK16" s="354">
        <v>0</v>
      </c>
      <c r="BL16" s="354">
        <v>0</v>
      </c>
      <c r="BM16" s="354">
        <v>0</v>
      </c>
      <c r="BN16" s="354">
        <v>0</v>
      </c>
      <c r="BO16" s="354"/>
      <c r="BP16" s="354"/>
      <c r="BQ16" s="354"/>
      <c r="BR16" s="354"/>
      <c r="BS16" s="354"/>
      <c r="BT16" s="354"/>
      <c r="BU16" s="354">
        <v>0</v>
      </c>
      <c r="BV16" s="354">
        <v>0</v>
      </c>
      <c r="BW16" s="354">
        <v>0</v>
      </c>
      <c r="BX16" s="354">
        <v>0</v>
      </c>
      <c r="BY16" s="354">
        <v>0</v>
      </c>
      <c r="BZ16" s="354">
        <v>0</v>
      </c>
      <c r="CA16" s="354">
        <v>0</v>
      </c>
      <c r="CB16" s="354">
        <v>0</v>
      </c>
      <c r="CC16" s="354">
        <v>0</v>
      </c>
      <c r="CD16" s="354">
        <v>0</v>
      </c>
      <c r="CE16" s="354">
        <v>0</v>
      </c>
      <c r="CF16" s="354">
        <v>0</v>
      </c>
      <c r="CG16" s="354">
        <v>0</v>
      </c>
      <c r="CH16" s="354">
        <v>0</v>
      </c>
      <c r="CI16" s="354">
        <v>0</v>
      </c>
      <c r="CJ16" s="354">
        <v>0</v>
      </c>
      <c r="CK16" s="354">
        <v>0</v>
      </c>
      <c r="CL16" s="354">
        <v>0</v>
      </c>
      <c r="CM16" s="354"/>
      <c r="CN16" s="354">
        <v>0</v>
      </c>
      <c r="CO16" s="364">
        <v>0</v>
      </c>
      <c r="CP16" s="364">
        <v>223.43283600000001</v>
      </c>
      <c r="CQ16" s="364">
        <v>0</v>
      </c>
      <c r="CR16" s="364">
        <v>0</v>
      </c>
      <c r="CS16" s="364">
        <v>0</v>
      </c>
      <c r="CT16" s="364">
        <v>223.43283600000001</v>
      </c>
      <c r="CU16" s="364">
        <v>0</v>
      </c>
      <c r="CV16" s="364">
        <v>0</v>
      </c>
      <c r="CW16" s="364">
        <v>0</v>
      </c>
      <c r="CX16" s="364">
        <v>0</v>
      </c>
      <c r="CY16" s="364">
        <v>0</v>
      </c>
      <c r="CZ16" s="364">
        <v>0</v>
      </c>
      <c r="DA16" s="354">
        <v>0</v>
      </c>
      <c r="DB16" s="354">
        <v>0</v>
      </c>
      <c r="DD16" s="354">
        <v>0</v>
      </c>
      <c r="DE16" s="354">
        <v>0</v>
      </c>
      <c r="DF16" s="354">
        <v>0</v>
      </c>
      <c r="DG16" s="354">
        <v>0</v>
      </c>
      <c r="DH16" s="354">
        <v>0</v>
      </c>
      <c r="DI16" s="354">
        <v>0</v>
      </c>
      <c r="DJ16" s="354">
        <f>550*2</f>
        <v>1100</v>
      </c>
      <c r="DK16" s="364">
        <v>217.41483947838299</v>
      </c>
      <c r="DL16" s="364">
        <v>538.92219766666597</v>
      </c>
      <c r="DM16" s="364">
        <v>365.09332566666598</v>
      </c>
      <c r="DN16" s="364">
        <v>214.43595116208598</v>
      </c>
      <c r="DO16" s="364">
        <f>217.414839478383*2</f>
        <v>434.82967895676597</v>
      </c>
      <c r="DP16" s="364">
        <v>627.7987407117696</v>
      </c>
      <c r="DQ16" s="364">
        <v>627.7987407117696</v>
      </c>
      <c r="DR16" s="364">
        <v>217.41483947838299</v>
      </c>
      <c r="DS16" s="364">
        <v>0</v>
      </c>
      <c r="DT16" s="364">
        <v>1156.13466389409</v>
      </c>
      <c r="DU16" s="278">
        <v>0</v>
      </c>
      <c r="DV16" s="364">
        <v>619.51226935164004</v>
      </c>
      <c r="DW16" s="543">
        <f>SUM(G16:DV16)</f>
        <v>6566.2209190782196</v>
      </c>
      <c r="DX16" s="858">
        <f>+DW16+DW17+DW18</f>
        <v>16371.20684991977</v>
      </c>
      <c r="DY16" s="704">
        <f>+DX16*1000000</f>
        <v>16371206849.919771</v>
      </c>
      <c r="DZ16" s="870">
        <f>+DY16-D16</f>
        <v>0</v>
      </c>
      <c r="EA16" s="873" t="e">
        <f>VLOOKUP([12]POA!$B16,'[12]Detalle Plan de Adquisiciones'!$G$6:$AF$65,23,0)</f>
        <v>#N/A</v>
      </c>
      <c r="EB16" s="859" t="e">
        <f>VLOOKUP([12]POA!$B16,'[12]Detalle Plan de Adquisiciones'!$G$6:$AF$65,25,0)</f>
        <v>#N/A</v>
      </c>
      <c r="EC16" s="859" t="e">
        <f>EB16+30</f>
        <v>#N/A</v>
      </c>
      <c r="ED16" s="859" t="e">
        <f>CONCATENATE(MONTH(EA16),"-",YEAR(EA16))</f>
        <v>#N/A</v>
      </c>
      <c r="EE16" s="859" t="e">
        <f>CONCATENATE(MONTH(EB16),"-",YEAR(EB16))</f>
        <v>#N/A</v>
      </c>
      <c r="EF16" s="861" t="e">
        <f>CONCATENATE(MONTH(EC16),"-",YEAR(EC16))</f>
        <v>#N/A</v>
      </c>
      <c r="EH16" s="393">
        <f>+DY16</f>
        <v>16371206849.919771</v>
      </c>
      <c r="EI16" s="858">
        <f>+DW16+DW17+DW18</f>
        <v>16371.20684991977</v>
      </c>
      <c r="EJ16" s="877">
        <f>+D16/1000000-EI16</f>
        <v>0</v>
      </c>
      <c r="ER16" s="625"/>
    </row>
    <row r="17" spans="1:148" s="278" customFormat="1" outlineLevel="2" x14ac:dyDescent="0.2">
      <c r="A17" s="893"/>
      <c r="B17" s="886"/>
      <c r="C17" s="903"/>
      <c r="D17" s="1057"/>
      <c r="E17" s="867"/>
      <c r="F17" s="527" t="s">
        <v>210</v>
      </c>
      <c r="G17" s="530">
        <v>0</v>
      </c>
      <c r="H17" s="363">
        <v>0</v>
      </c>
      <c r="I17" s="363">
        <v>0</v>
      </c>
      <c r="J17" s="363">
        <v>0</v>
      </c>
      <c r="K17" s="363">
        <v>0</v>
      </c>
      <c r="L17" s="363">
        <v>0</v>
      </c>
      <c r="M17" s="363">
        <v>0</v>
      </c>
      <c r="N17" s="363">
        <v>0</v>
      </c>
      <c r="O17" s="363">
        <v>0</v>
      </c>
      <c r="P17" s="363">
        <v>0</v>
      </c>
      <c r="Q17" s="363">
        <v>0</v>
      </c>
      <c r="R17" s="363">
        <v>0</v>
      </c>
      <c r="S17" s="363">
        <v>0</v>
      </c>
      <c r="T17" s="363">
        <v>0</v>
      </c>
      <c r="U17" s="363">
        <v>0</v>
      </c>
      <c r="V17" s="363">
        <v>0</v>
      </c>
      <c r="W17" s="363">
        <v>0</v>
      </c>
      <c r="X17" s="411">
        <v>0</v>
      </c>
      <c r="Y17" s="411">
        <v>0</v>
      </c>
      <c r="Z17" s="582">
        <v>283.263848</v>
      </c>
      <c r="AA17" s="363">
        <v>86.220026000000004</v>
      </c>
      <c r="AB17" s="363">
        <v>83.708349999999996</v>
      </c>
      <c r="AC17" s="411">
        <v>0</v>
      </c>
      <c r="AD17" s="363">
        <v>1.774178</v>
      </c>
      <c r="AE17" s="411">
        <v>0</v>
      </c>
      <c r="AF17" s="363">
        <v>78.317537999999999</v>
      </c>
      <c r="AG17" s="411">
        <v>0</v>
      </c>
      <c r="AH17" s="363">
        <v>69.514993000000004</v>
      </c>
      <c r="AI17" s="582">
        <v>75.441577000000009</v>
      </c>
      <c r="AJ17" s="411">
        <v>0</v>
      </c>
      <c r="AK17" s="363">
        <v>98.981451499999991</v>
      </c>
      <c r="AL17" s="363">
        <v>15.1267</v>
      </c>
      <c r="AM17" s="363">
        <v>72.040358999999995</v>
      </c>
      <c r="AN17" s="411"/>
      <c r="AO17" s="363">
        <v>45.719868000000005</v>
      </c>
      <c r="AP17" s="363">
        <v>127.7888485</v>
      </c>
      <c r="AQ17" s="363">
        <v>0.60737600000000003</v>
      </c>
      <c r="AR17" s="411">
        <v>0</v>
      </c>
      <c r="AS17" s="363">
        <v>44.777785999999999</v>
      </c>
      <c r="AT17" s="411">
        <v>0</v>
      </c>
      <c r="AU17" s="363">
        <v>58.297037000000003</v>
      </c>
      <c r="AV17" s="363">
        <v>23.706516000000001</v>
      </c>
      <c r="AW17" s="363">
        <v>44.777786999999996</v>
      </c>
      <c r="AX17" s="411">
        <v>0</v>
      </c>
      <c r="AY17" s="363">
        <v>23.706516000000001</v>
      </c>
      <c r="AZ17" s="363">
        <v>58.297035999999999</v>
      </c>
      <c r="BA17" s="411"/>
      <c r="BB17" s="363">
        <v>74.670962500000002</v>
      </c>
      <c r="BC17" s="363">
        <v>0</v>
      </c>
      <c r="BD17" s="363">
        <v>0</v>
      </c>
      <c r="BE17" s="363">
        <v>0</v>
      </c>
      <c r="BF17" s="363">
        <v>0</v>
      </c>
      <c r="BG17" s="363">
        <v>0</v>
      </c>
      <c r="BH17" s="363">
        <v>0</v>
      </c>
      <c r="BI17" s="363">
        <v>0</v>
      </c>
      <c r="BJ17" s="363">
        <v>0</v>
      </c>
      <c r="BK17" s="363">
        <v>0</v>
      </c>
      <c r="BL17" s="363">
        <v>0</v>
      </c>
      <c r="BM17" s="363">
        <v>0</v>
      </c>
      <c r="BN17" s="363">
        <v>0</v>
      </c>
      <c r="BO17" s="363"/>
      <c r="BP17" s="363"/>
      <c r="BQ17" s="363"/>
      <c r="BR17" s="363"/>
      <c r="BS17" s="363"/>
      <c r="BT17" s="363"/>
      <c r="BU17" s="363"/>
      <c r="BV17" s="363">
        <v>0</v>
      </c>
      <c r="BW17" s="363">
        <v>0</v>
      </c>
      <c r="BX17" s="363">
        <v>0</v>
      </c>
      <c r="BY17" s="363">
        <v>0</v>
      </c>
      <c r="BZ17" s="363">
        <v>0</v>
      </c>
      <c r="CA17" s="363">
        <v>0</v>
      </c>
      <c r="CB17" s="363">
        <v>0</v>
      </c>
      <c r="CC17" s="363">
        <v>0</v>
      </c>
      <c r="CD17" s="363">
        <v>0</v>
      </c>
      <c r="CE17" s="363">
        <v>0</v>
      </c>
      <c r="CF17" s="363">
        <v>0</v>
      </c>
      <c r="CG17" s="363">
        <v>0</v>
      </c>
      <c r="CH17" s="363">
        <v>0</v>
      </c>
      <c r="CI17" s="363">
        <v>0</v>
      </c>
      <c r="CJ17" s="363">
        <v>0</v>
      </c>
      <c r="CK17" s="363">
        <v>0</v>
      </c>
      <c r="CL17" s="363">
        <v>0</v>
      </c>
      <c r="CM17" s="363"/>
      <c r="CN17" s="363"/>
      <c r="CO17" s="363">
        <v>0</v>
      </c>
      <c r="CP17" s="363"/>
      <c r="CQ17" s="363"/>
      <c r="CR17" s="363"/>
      <c r="CS17" s="363">
        <v>0</v>
      </c>
      <c r="CT17" s="363">
        <v>0</v>
      </c>
      <c r="CU17" s="363">
        <v>0</v>
      </c>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544">
        <f>SUM(G17:DV17)</f>
        <v>1366.7387535000003</v>
      </c>
      <c r="DX17" s="858"/>
      <c r="DY17" s="705"/>
      <c r="DZ17" s="871"/>
      <c r="EA17" s="873"/>
      <c r="EB17" s="859"/>
      <c r="EC17" s="859"/>
      <c r="ED17" s="859"/>
      <c r="EE17" s="859"/>
      <c r="EF17" s="861"/>
      <c r="EI17" s="858"/>
      <c r="EJ17" s="877"/>
      <c r="ER17" s="625"/>
    </row>
    <row r="18" spans="1:148" s="278" customFormat="1" ht="12.75" outlineLevel="2" thickBot="1" x14ac:dyDescent="0.25">
      <c r="A18" s="894"/>
      <c r="B18" s="887"/>
      <c r="C18" s="904"/>
      <c r="D18" s="1058"/>
      <c r="E18" s="868"/>
      <c r="F18" s="528" t="s">
        <v>211</v>
      </c>
      <c r="G18" s="561">
        <v>0</v>
      </c>
      <c r="H18" s="364">
        <v>0</v>
      </c>
      <c r="I18" s="364">
        <v>0</v>
      </c>
      <c r="J18" s="364">
        <v>0</v>
      </c>
      <c r="K18" s="364">
        <v>0</v>
      </c>
      <c r="L18" s="364">
        <v>0</v>
      </c>
      <c r="M18" s="364">
        <v>0</v>
      </c>
      <c r="N18" s="364">
        <v>0</v>
      </c>
      <c r="O18" s="364">
        <v>0</v>
      </c>
      <c r="P18" s="364">
        <v>0</v>
      </c>
      <c r="Q18" s="364">
        <v>0</v>
      </c>
      <c r="R18" s="364">
        <v>0</v>
      </c>
      <c r="S18" s="524">
        <v>0</v>
      </c>
      <c r="T18" s="524">
        <v>0</v>
      </c>
      <c r="U18" s="524">
        <v>0</v>
      </c>
      <c r="V18" s="524">
        <v>0</v>
      </c>
      <c r="W18" s="363">
        <v>153.07499999999999</v>
      </c>
      <c r="X18" s="364">
        <v>0</v>
      </c>
      <c r="Y18" s="364">
        <v>0</v>
      </c>
      <c r="Z18" s="590">
        <v>0</v>
      </c>
      <c r="AA18" s="562">
        <v>0</v>
      </c>
      <c r="AB18" s="562">
        <v>0</v>
      </c>
      <c r="AC18" s="364">
        <v>0</v>
      </c>
      <c r="AD18" s="364">
        <v>129.721161</v>
      </c>
      <c r="AE18" s="569">
        <v>130.57162500000001</v>
      </c>
      <c r="AF18" s="364">
        <v>0</v>
      </c>
      <c r="AG18" s="569">
        <v>321.04461600000002</v>
      </c>
      <c r="AH18" s="524">
        <v>0</v>
      </c>
      <c r="AI18" s="364">
        <v>0</v>
      </c>
      <c r="AJ18" s="363">
        <v>123.097978</v>
      </c>
      <c r="AK18" s="364">
        <v>0</v>
      </c>
      <c r="AL18" s="364">
        <v>163.4895775</v>
      </c>
      <c r="AM18" s="364">
        <v>0</v>
      </c>
      <c r="AN18" s="364"/>
      <c r="AO18" s="364"/>
      <c r="AP18" s="364"/>
      <c r="AQ18" s="364">
        <v>13.1015</v>
      </c>
      <c r="AR18" s="364">
        <v>0</v>
      </c>
      <c r="AS18" s="364">
        <v>2.4018999999999999</v>
      </c>
      <c r="AT18" s="364">
        <v>50.051609999999997</v>
      </c>
      <c r="AU18" s="364">
        <v>0</v>
      </c>
      <c r="AV18" s="364">
        <v>0</v>
      </c>
      <c r="AW18" s="364">
        <v>15.925165</v>
      </c>
      <c r="AX18" s="364">
        <v>0</v>
      </c>
      <c r="AY18" s="626">
        <v>101.93907100000001</v>
      </c>
      <c r="AZ18" s="364">
        <v>0</v>
      </c>
      <c r="BA18" s="364"/>
      <c r="BB18" s="364">
        <v>211.8687175</v>
      </c>
      <c r="BC18" s="364">
        <v>0</v>
      </c>
      <c r="BD18" s="364">
        <v>43.475937999999999</v>
      </c>
      <c r="BE18" s="364">
        <v>393.30823500000002</v>
      </c>
      <c r="BF18" s="364">
        <v>34.401156999999998</v>
      </c>
      <c r="BG18" s="364">
        <v>10.489912</v>
      </c>
      <c r="BH18" s="364">
        <v>226.42999800000001</v>
      </c>
      <c r="BI18" s="364">
        <v>22.406478</v>
      </c>
      <c r="BJ18" s="364">
        <v>0</v>
      </c>
      <c r="BK18" s="364">
        <v>0</v>
      </c>
      <c r="BL18" s="364">
        <v>77.825851</v>
      </c>
      <c r="BM18" s="364">
        <v>133.585669</v>
      </c>
      <c r="BN18" s="364">
        <v>26.421783999999999</v>
      </c>
      <c r="BO18" s="364">
        <v>0</v>
      </c>
      <c r="BP18" s="364">
        <v>157.774618</v>
      </c>
      <c r="BQ18" s="364">
        <v>0</v>
      </c>
      <c r="BR18" s="364">
        <v>85.930055999999993</v>
      </c>
      <c r="BS18" s="364">
        <v>501.55312600000002</v>
      </c>
      <c r="BT18" s="364">
        <v>282.88910600000003</v>
      </c>
      <c r="BU18" s="364">
        <v>21.495842</v>
      </c>
      <c r="BV18" s="364">
        <v>131.80055899999999</v>
      </c>
      <c r="BW18" s="364">
        <v>344.04665999999997</v>
      </c>
      <c r="BX18" s="364">
        <v>495.95444600000002</v>
      </c>
      <c r="BY18" s="364">
        <v>9.2858610000000006</v>
      </c>
      <c r="BZ18" s="524">
        <v>0</v>
      </c>
      <c r="CA18" s="364">
        <v>0</v>
      </c>
      <c r="CB18" s="364"/>
      <c r="CC18" s="364">
        <v>101.215765</v>
      </c>
      <c r="CD18" s="364">
        <v>0</v>
      </c>
      <c r="CE18" s="364">
        <v>21.105741000000002</v>
      </c>
      <c r="CF18" s="364">
        <v>292.62167899999997</v>
      </c>
      <c r="CG18" s="364">
        <v>24.066500000000001</v>
      </c>
      <c r="CH18" s="364">
        <v>58.147819040000002</v>
      </c>
      <c r="CI18" s="364">
        <v>0</v>
      </c>
      <c r="CJ18" s="364">
        <v>0</v>
      </c>
      <c r="CK18" s="364">
        <v>0</v>
      </c>
      <c r="CL18" s="364">
        <v>25.233806000000001</v>
      </c>
      <c r="CM18" s="364">
        <v>0</v>
      </c>
      <c r="CN18" s="364">
        <v>0</v>
      </c>
      <c r="CO18" s="364">
        <v>47.603963999999998</v>
      </c>
      <c r="CP18" s="364">
        <v>0</v>
      </c>
      <c r="CQ18" s="364">
        <v>0</v>
      </c>
      <c r="CR18" s="364">
        <v>0</v>
      </c>
      <c r="CS18" s="363">
        <v>15.867988</v>
      </c>
      <c r="CT18" s="364">
        <v>0</v>
      </c>
      <c r="CU18" s="364">
        <v>0</v>
      </c>
      <c r="CV18" s="364">
        <v>0</v>
      </c>
      <c r="CW18" s="363">
        <v>0</v>
      </c>
      <c r="CX18" s="363">
        <v>254.95020099999999</v>
      </c>
      <c r="CY18" s="364"/>
      <c r="CZ18" s="364"/>
      <c r="DA18" s="278">
        <v>0</v>
      </c>
      <c r="DB18" s="364"/>
      <c r="DC18" s="364"/>
      <c r="DD18" s="364"/>
      <c r="DE18" s="364"/>
      <c r="DF18" s="364"/>
      <c r="DG18" s="364"/>
      <c r="DH18" s="364"/>
      <c r="DI18" s="364"/>
      <c r="DJ18" s="364"/>
      <c r="DK18" s="364"/>
      <c r="DL18" s="364"/>
      <c r="DM18" s="364"/>
      <c r="DN18" s="364">
        <v>1.64699959999084</v>
      </c>
      <c r="DO18" s="364"/>
      <c r="DP18" s="364"/>
      <c r="DQ18" s="364"/>
      <c r="DR18" s="364"/>
      <c r="DS18" s="364"/>
      <c r="DT18" s="364"/>
      <c r="DU18" s="364">
        <v>3180.4234977015599</v>
      </c>
      <c r="DV18" s="364">
        <v>0</v>
      </c>
      <c r="DW18" s="649">
        <f>SUM(G18:DV18)</f>
        <v>8438.2471773415509</v>
      </c>
      <c r="DX18" s="858"/>
      <c r="DY18" s="706"/>
      <c r="DZ18" s="872"/>
      <c r="EA18" s="873"/>
      <c r="EB18" s="859"/>
      <c r="EC18" s="859"/>
      <c r="ED18" s="859"/>
      <c r="EE18" s="859"/>
      <c r="EF18" s="861"/>
      <c r="EI18" s="858"/>
      <c r="EJ18" s="877"/>
      <c r="EO18" s="393"/>
      <c r="ER18" s="625"/>
    </row>
    <row r="19" spans="1:148" s="32" customFormat="1" ht="24" outlineLevel="1" x14ac:dyDescent="0.2">
      <c r="A19" s="892" t="s">
        <v>368</v>
      </c>
      <c r="B19" s="897" t="s">
        <v>157</v>
      </c>
      <c r="C19" s="949"/>
      <c r="D19" s="863">
        <f>+'Detalle Plan de Adquisiciones'!M6</f>
        <v>4499027450</v>
      </c>
      <c r="E19" s="866" t="s">
        <v>407</v>
      </c>
      <c r="F19" s="312" t="s">
        <v>410</v>
      </c>
      <c r="G19" s="354">
        <v>0</v>
      </c>
      <c r="H19" s="354">
        <v>0</v>
      </c>
      <c r="I19" s="354">
        <v>0</v>
      </c>
      <c r="J19" s="354">
        <v>0</v>
      </c>
      <c r="K19" s="354">
        <v>0</v>
      </c>
      <c r="L19" s="354">
        <v>0</v>
      </c>
      <c r="M19" s="354">
        <v>0</v>
      </c>
      <c r="N19" s="354">
        <v>0</v>
      </c>
      <c r="O19" s="354">
        <v>0</v>
      </c>
      <c r="P19" s="354">
        <v>0</v>
      </c>
      <c r="Q19" s="354">
        <v>0</v>
      </c>
      <c r="R19" s="354">
        <v>0</v>
      </c>
      <c r="S19" s="354">
        <v>0</v>
      </c>
      <c r="T19" s="354">
        <v>0</v>
      </c>
      <c r="U19" s="354">
        <v>0</v>
      </c>
      <c r="V19" s="354">
        <v>0</v>
      </c>
      <c r="W19" s="354">
        <v>0</v>
      </c>
      <c r="X19" s="354">
        <v>0</v>
      </c>
      <c r="Y19" s="354">
        <v>0</v>
      </c>
      <c r="Z19" s="354">
        <v>0</v>
      </c>
      <c r="AA19" s="354">
        <v>0</v>
      </c>
      <c r="AB19" s="354">
        <v>0</v>
      </c>
      <c r="AC19" s="354">
        <v>0</v>
      </c>
      <c r="AD19" s="354">
        <v>0</v>
      </c>
      <c r="AE19" s="354">
        <v>0</v>
      </c>
      <c r="AF19" s="354">
        <v>0</v>
      </c>
      <c r="AG19" s="354">
        <v>0</v>
      </c>
      <c r="AH19" s="354">
        <v>0</v>
      </c>
      <c r="AI19" s="354">
        <v>0</v>
      </c>
      <c r="AJ19" s="354">
        <v>0</v>
      </c>
      <c r="AK19" s="354">
        <v>0</v>
      </c>
      <c r="AL19" s="354">
        <v>0</v>
      </c>
      <c r="AM19" s="354">
        <v>0</v>
      </c>
      <c r="AN19" s="354">
        <v>0</v>
      </c>
      <c r="AO19" s="354">
        <v>0</v>
      </c>
      <c r="AP19" s="354">
        <v>0</v>
      </c>
      <c r="AQ19" s="354">
        <v>0</v>
      </c>
      <c r="AR19" s="354">
        <v>0</v>
      </c>
      <c r="AS19" s="354">
        <v>0</v>
      </c>
      <c r="AT19" s="354">
        <v>0</v>
      </c>
      <c r="AU19" s="354">
        <v>0</v>
      </c>
      <c r="AV19" s="354">
        <v>0</v>
      </c>
      <c r="AW19" s="354">
        <v>0</v>
      </c>
      <c r="AX19" s="354">
        <v>0</v>
      </c>
      <c r="AY19" s="354">
        <v>0</v>
      </c>
      <c r="AZ19" s="354">
        <v>0</v>
      </c>
      <c r="BA19" s="354">
        <v>0</v>
      </c>
      <c r="BB19" s="354">
        <v>0</v>
      </c>
      <c r="BC19" s="354">
        <v>0</v>
      </c>
      <c r="BD19" s="354">
        <v>0</v>
      </c>
      <c r="BE19" s="354">
        <v>0</v>
      </c>
      <c r="BF19" s="354">
        <v>0</v>
      </c>
      <c r="BG19" s="354">
        <v>0</v>
      </c>
      <c r="BH19" s="354">
        <v>0</v>
      </c>
      <c r="BI19" s="354">
        <v>0</v>
      </c>
      <c r="BJ19" s="354">
        <v>0</v>
      </c>
      <c r="BK19" s="354">
        <v>0</v>
      </c>
      <c r="BL19" s="354">
        <v>0</v>
      </c>
      <c r="BM19" s="354">
        <v>0</v>
      </c>
      <c r="BN19" s="354">
        <v>0</v>
      </c>
      <c r="BO19" s="354">
        <v>0</v>
      </c>
      <c r="BP19" s="354">
        <v>0</v>
      </c>
      <c r="BQ19" s="354">
        <v>0</v>
      </c>
      <c r="BR19" s="354">
        <v>0</v>
      </c>
      <c r="BS19" s="354">
        <v>0</v>
      </c>
      <c r="BT19" s="354">
        <v>0</v>
      </c>
      <c r="BU19" s="354">
        <v>0</v>
      </c>
      <c r="BV19" s="354">
        <v>0</v>
      </c>
      <c r="BW19" s="354">
        <v>0</v>
      </c>
      <c r="BX19" s="354">
        <v>0</v>
      </c>
      <c r="BY19" s="354">
        <v>0</v>
      </c>
      <c r="BZ19" s="354">
        <v>0</v>
      </c>
      <c r="CA19" s="354">
        <v>0</v>
      </c>
      <c r="CB19" s="354">
        <v>0</v>
      </c>
      <c r="CC19" s="354">
        <v>0</v>
      </c>
      <c r="CD19" s="354">
        <v>0</v>
      </c>
      <c r="CE19" s="354">
        <v>0</v>
      </c>
      <c r="CF19" s="354">
        <v>0</v>
      </c>
      <c r="CG19" s="354">
        <v>0</v>
      </c>
      <c r="CH19" s="354">
        <v>0</v>
      </c>
      <c r="CI19" s="354">
        <v>0</v>
      </c>
      <c r="CJ19" s="354">
        <v>0</v>
      </c>
      <c r="CK19" s="354">
        <v>0</v>
      </c>
      <c r="CL19" s="354">
        <v>0</v>
      </c>
      <c r="CM19" s="354"/>
      <c r="CN19" s="354"/>
      <c r="CO19" s="354"/>
      <c r="CP19" s="354"/>
      <c r="CQ19" s="354"/>
      <c r="CR19" s="354"/>
      <c r="CS19" s="354"/>
      <c r="CT19" s="354"/>
      <c r="CU19" s="354"/>
      <c r="CV19" s="354"/>
      <c r="CW19" s="354"/>
      <c r="CX19" s="354"/>
      <c r="CY19" s="354"/>
      <c r="CZ19" s="354"/>
      <c r="DA19" s="354"/>
      <c r="DB19" s="354"/>
      <c r="DC19" s="354"/>
      <c r="DD19" s="354"/>
      <c r="DE19" s="354"/>
      <c r="DF19" s="354"/>
      <c r="DG19" s="354"/>
      <c r="DH19" s="354"/>
      <c r="DI19" s="354"/>
      <c r="DJ19" s="354"/>
      <c r="DK19" s="354"/>
      <c r="DL19" s="354"/>
      <c r="DM19" s="354"/>
      <c r="DN19" s="354"/>
      <c r="DO19" s="354"/>
      <c r="DP19" s="354"/>
      <c r="DQ19" s="354"/>
      <c r="DR19" s="354"/>
      <c r="DS19" s="354"/>
      <c r="DT19" s="354"/>
      <c r="DU19" s="354"/>
      <c r="DV19" s="354"/>
      <c r="DW19" s="543">
        <f>SUM(G19:DV19)</f>
        <v>0</v>
      </c>
      <c r="DX19" s="858">
        <f>DW19+DW20+DW21</f>
        <v>4499.0274499999996</v>
      </c>
      <c r="DY19" s="704">
        <f>+DX19*1000000</f>
        <v>4499027450</v>
      </c>
      <c r="DZ19" s="870">
        <f>+DY19-D19</f>
        <v>0</v>
      </c>
      <c r="EA19" s="1052" t="str">
        <f>VLOOKUP(POA!$B19,'Detalle Plan de Adquisiciones'!$G$6:$AF$66,23,0)</f>
        <v>N/A</v>
      </c>
      <c r="EB19" s="912">
        <f>VLOOKUP(POA!$B19,'Detalle Plan de Adquisiciones'!$G$6:$AF$66,25,0)</f>
        <v>40962</v>
      </c>
      <c r="EC19" s="912">
        <f>EB19+30</f>
        <v>40992</v>
      </c>
      <c r="ED19" s="912" t="e">
        <f>CONCATENATE(MONTH(EA19),"-",YEAR(EA19))</f>
        <v>#VALUE!</v>
      </c>
      <c r="EE19" s="912" t="str">
        <f>CONCATENATE(MONTH(EB19),"-",YEAR(EB19))</f>
        <v>2-2012</v>
      </c>
      <c r="EF19" s="914" t="str">
        <f>CONCATENATE(MONTH(EC19),"-",YEAR(EC19))</f>
        <v>3-2012</v>
      </c>
      <c r="EG19" s="1105" t="e">
        <f>+YEAR(EA19)</f>
        <v>#VALUE!</v>
      </c>
      <c r="EH19" s="393">
        <f>+DY19</f>
        <v>4499027450</v>
      </c>
      <c r="EI19" s="858">
        <f>+DW19+DW20+DW21</f>
        <v>4499.0274499999996</v>
      </c>
      <c r="EJ19" s="877">
        <f>+D19/1000000-EI19</f>
        <v>0</v>
      </c>
      <c r="ER19" s="486"/>
    </row>
    <row r="20" spans="1:148" s="278" customFormat="1" outlineLevel="2" x14ac:dyDescent="0.2">
      <c r="A20" s="893"/>
      <c r="B20" s="886"/>
      <c r="C20" s="950"/>
      <c r="D20" s="864"/>
      <c r="E20" s="867"/>
      <c r="F20" s="311" t="s">
        <v>210</v>
      </c>
      <c r="G20" s="363">
        <v>0</v>
      </c>
      <c r="H20" s="363">
        <v>0</v>
      </c>
      <c r="I20" s="363">
        <v>0</v>
      </c>
      <c r="J20" s="363">
        <v>0</v>
      </c>
      <c r="K20" s="363">
        <v>0</v>
      </c>
      <c r="L20" s="363">
        <v>0</v>
      </c>
      <c r="M20" s="363">
        <v>0</v>
      </c>
      <c r="N20" s="363">
        <v>0</v>
      </c>
      <c r="O20" s="363">
        <v>0</v>
      </c>
      <c r="P20" s="363">
        <v>0</v>
      </c>
      <c r="Q20" s="363">
        <v>0</v>
      </c>
      <c r="R20" s="363">
        <v>0</v>
      </c>
      <c r="S20" s="363">
        <v>0</v>
      </c>
      <c r="T20" s="363">
        <v>0</v>
      </c>
      <c r="U20" s="363">
        <v>0</v>
      </c>
      <c r="V20" s="363">
        <v>0</v>
      </c>
      <c r="W20" s="363">
        <v>0</v>
      </c>
      <c r="X20" s="385">
        <v>1274.746187</v>
      </c>
      <c r="Y20" s="363">
        <v>0</v>
      </c>
      <c r="Z20" s="363">
        <v>0</v>
      </c>
      <c r="AA20" s="363">
        <v>998.55118000000004</v>
      </c>
      <c r="AB20" s="363">
        <v>1126.0257979999999</v>
      </c>
      <c r="AC20" s="363">
        <v>0</v>
      </c>
      <c r="AD20" s="363"/>
      <c r="AE20" s="363">
        <v>0</v>
      </c>
      <c r="AF20" s="363">
        <v>0</v>
      </c>
      <c r="AG20" s="363">
        <v>0</v>
      </c>
      <c r="AH20" s="363">
        <v>249.87349400000005</v>
      </c>
      <c r="AI20" s="363">
        <v>0</v>
      </c>
      <c r="AJ20" s="363">
        <v>0</v>
      </c>
      <c r="AK20" s="363">
        <v>0</v>
      </c>
      <c r="AL20" s="363">
        <v>0</v>
      </c>
      <c r="AM20" s="363">
        <v>0</v>
      </c>
      <c r="AN20" s="363">
        <v>0</v>
      </c>
      <c r="AO20" s="363">
        <v>0</v>
      </c>
      <c r="AP20" s="363">
        <v>0</v>
      </c>
      <c r="AQ20" s="363">
        <v>0</v>
      </c>
      <c r="AR20" s="363">
        <v>0</v>
      </c>
      <c r="AS20" s="363">
        <v>0</v>
      </c>
      <c r="AT20" s="363">
        <v>0</v>
      </c>
      <c r="AU20" s="363">
        <v>0</v>
      </c>
      <c r="AV20" s="363">
        <v>0</v>
      </c>
      <c r="AW20" s="363">
        <v>0</v>
      </c>
      <c r="AX20" s="363">
        <v>0</v>
      </c>
      <c r="AY20" s="363">
        <v>0</v>
      </c>
      <c r="AZ20" s="363">
        <v>0</v>
      </c>
      <c r="BA20" s="363">
        <v>0</v>
      </c>
      <c r="BB20" s="363">
        <v>0</v>
      </c>
      <c r="BC20" s="363">
        <v>0</v>
      </c>
      <c r="BD20" s="363">
        <v>0</v>
      </c>
      <c r="BE20" s="363">
        <v>0</v>
      </c>
      <c r="BF20" s="363">
        <v>0</v>
      </c>
      <c r="BG20" s="363">
        <v>0</v>
      </c>
      <c r="BH20" s="363">
        <v>0</v>
      </c>
      <c r="BI20" s="363">
        <v>0</v>
      </c>
      <c r="BJ20" s="363">
        <v>0</v>
      </c>
      <c r="BK20" s="363">
        <v>0</v>
      </c>
      <c r="BL20" s="363">
        <v>0</v>
      </c>
      <c r="BM20" s="363">
        <v>0</v>
      </c>
      <c r="BN20" s="363">
        <v>0</v>
      </c>
      <c r="BO20" s="363">
        <v>0</v>
      </c>
      <c r="BP20" s="363">
        <v>0</v>
      </c>
      <c r="BQ20" s="363">
        <v>0</v>
      </c>
      <c r="BR20" s="363">
        <v>0</v>
      </c>
      <c r="BS20" s="363">
        <v>0</v>
      </c>
      <c r="BT20" s="363">
        <v>0</v>
      </c>
      <c r="BU20" s="363">
        <v>0</v>
      </c>
      <c r="BV20" s="363">
        <v>0</v>
      </c>
      <c r="BW20" s="363">
        <v>0</v>
      </c>
      <c r="BX20" s="363">
        <v>0</v>
      </c>
      <c r="BY20" s="363">
        <v>0</v>
      </c>
      <c r="BZ20" s="363">
        <v>0</v>
      </c>
      <c r="CA20" s="363">
        <v>0</v>
      </c>
      <c r="CB20" s="363">
        <v>0</v>
      </c>
      <c r="CC20" s="363">
        <v>0</v>
      </c>
      <c r="CD20" s="363">
        <v>0</v>
      </c>
      <c r="CE20" s="363">
        <v>0</v>
      </c>
      <c r="CF20" s="363">
        <v>0</v>
      </c>
      <c r="CG20" s="363">
        <v>0</v>
      </c>
      <c r="CH20" s="363">
        <v>0</v>
      </c>
      <c r="CI20" s="363">
        <v>0</v>
      </c>
      <c r="CJ20" s="363">
        <v>0</v>
      </c>
      <c r="CK20" s="363">
        <v>0</v>
      </c>
      <c r="CL20" s="363">
        <v>0</v>
      </c>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544">
        <f t="shared" ref="DW20:DW80" si="15">SUM(G20:DV20)</f>
        <v>3649.1966589999997</v>
      </c>
      <c r="DX20" s="858"/>
      <c r="DY20" s="705"/>
      <c r="DZ20" s="871"/>
      <c r="EA20" s="873"/>
      <c r="EB20" s="859"/>
      <c r="EC20" s="859"/>
      <c r="ED20" s="859"/>
      <c r="EE20" s="859"/>
      <c r="EF20" s="861"/>
      <c r="EG20" s="1106"/>
      <c r="EI20" s="858"/>
      <c r="EJ20" s="877"/>
      <c r="ER20" s="497"/>
    </row>
    <row r="21" spans="1:148" s="278" customFormat="1" ht="21" customHeight="1" outlineLevel="2" thickBot="1" x14ac:dyDescent="0.25">
      <c r="A21" s="1006"/>
      <c r="B21" s="908"/>
      <c r="C21" s="1055"/>
      <c r="D21" s="876"/>
      <c r="E21" s="875"/>
      <c r="F21" s="313" t="s">
        <v>211</v>
      </c>
      <c r="G21" s="387">
        <v>0</v>
      </c>
      <c r="H21" s="387">
        <v>0</v>
      </c>
      <c r="I21" s="387">
        <v>0</v>
      </c>
      <c r="J21" s="387">
        <v>0</v>
      </c>
      <c r="K21" s="387">
        <v>0</v>
      </c>
      <c r="L21" s="387">
        <v>0</v>
      </c>
      <c r="M21" s="387">
        <v>0</v>
      </c>
      <c r="N21" s="387">
        <v>0</v>
      </c>
      <c r="O21" s="387">
        <v>0</v>
      </c>
      <c r="P21" s="387">
        <v>0</v>
      </c>
      <c r="Q21" s="387">
        <v>0</v>
      </c>
      <c r="R21" s="387">
        <v>0</v>
      </c>
      <c r="S21" s="387">
        <v>0</v>
      </c>
      <c r="T21" s="387">
        <v>0</v>
      </c>
      <c r="U21" s="387">
        <v>0</v>
      </c>
      <c r="V21" s="387">
        <v>0</v>
      </c>
      <c r="W21" s="387">
        <v>0</v>
      </c>
      <c r="X21" s="387">
        <v>0</v>
      </c>
      <c r="Y21" s="387">
        <v>0</v>
      </c>
      <c r="Z21" s="387">
        <v>0</v>
      </c>
      <c r="AA21" s="387">
        <v>0</v>
      </c>
      <c r="AB21" s="387">
        <v>0</v>
      </c>
      <c r="AC21" s="387">
        <v>0</v>
      </c>
      <c r="AD21" s="387">
        <v>0</v>
      </c>
      <c r="AE21" s="387">
        <v>0</v>
      </c>
      <c r="AF21" s="387">
        <v>0</v>
      </c>
      <c r="AG21" s="387">
        <v>0</v>
      </c>
      <c r="AH21" s="387">
        <v>849.83079099999998</v>
      </c>
      <c r="AI21" s="387">
        <v>0</v>
      </c>
      <c r="AJ21" s="387">
        <v>0</v>
      </c>
      <c r="AK21" s="387">
        <v>0</v>
      </c>
      <c r="AL21" s="387">
        <v>0</v>
      </c>
      <c r="AM21" s="387">
        <v>0</v>
      </c>
      <c r="AN21" s="387">
        <v>0</v>
      </c>
      <c r="AO21" s="387">
        <v>0</v>
      </c>
      <c r="AP21" s="387">
        <v>0</v>
      </c>
      <c r="AQ21" s="387">
        <v>0</v>
      </c>
      <c r="AR21" s="387">
        <v>0</v>
      </c>
      <c r="AS21" s="387">
        <v>0</v>
      </c>
      <c r="AT21" s="387">
        <v>0</v>
      </c>
      <c r="AU21" s="387">
        <v>0</v>
      </c>
      <c r="AV21" s="387">
        <v>0</v>
      </c>
      <c r="AW21" s="387">
        <v>0</v>
      </c>
      <c r="AX21" s="387">
        <v>0</v>
      </c>
      <c r="AY21" s="387">
        <v>0</v>
      </c>
      <c r="AZ21" s="387">
        <v>0</v>
      </c>
      <c r="BA21" s="387">
        <v>0</v>
      </c>
      <c r="BB21" s="387">
        <v>0</v>
      </c>
      <c r="BC21" s="387">
        <v>0</v>
      </c>
      <c r="BD21" s="387">
        <v>0</v>
      </c>
      <c r="BE21" s="387">
        <v>0</v>
      </c>
      <c r="BF21" s="387">
        <v>0</v>
      </c>
      <c r="BG21" s="387">
        <v>0</v>
      </c>
      <c r="BH21" s="387">
        <v>0</v>
      </c>
      <c r="BI21" s="387">
        <v>0</v>
      </c>
      <c r="BJ21" s="387">
        <v>0</v>
      </c>
      <c r="BK21" s="387">
        <v>0</v>
      </c>
      <c r="BL21" s="387">
        <v>0</v>
      </c>
      <c r="BM21" s="387">
        <v>0</v>
      </c>
      <c r="BN21" s="387">
        <v>0</v>
      </c>
      <c r="BO21" s="387">
        <v>0</v>
      </c>
      <c r="BP21" s="387">
        <v>0</v>
      </c>
      <c r="BQ21" s="387">
        <v>0</v>
      </c>
      <c r="BR21" s="387">
        <v>0</v>
      </c>
      <c r="BS21" s="387">
        <v>0</v>
      </c>
      <c r="BT21" s="387">
        <v>0</v>
      </c>
      <c r="BU21" s="387">
        <v>0</v>
      </c>
      <c r="BV21" s="387">
        <v>0</v>
      </c>
      <c r="BW21" s="387">
        <v>0</v>
      </c>
      <c r="BX21" s="387">
        <v>0</v>
      </c>
      <c r="BY21" s="387">
        <v>0</v>
      </c>
      <c r="BZ21" s="387">
        <v>0</v>
      </c>
      <c r="CA21" s="387">
        <v>0</v>
      </c>
      <c r="CB21" s="387">
        <v>0</v>
      </c>
      <c r="CC21" s="387">
        <v>0</v>
      </c>
      <c r="CD21" s="387">
        <v>0</v>
      </c>
      <c r="CE21" s="387">
        <v>0</v>
      </c>
      <c r="CF21" s="387">
        <v>0</v>
      </c>
      <c r="CG21" s="387">
        <v>0</v>
      </c>
      <c r="CH21" s="387">
        <v>0</v>
      </c>
      <c r="CI21" s="387">
        <v>0</v>
      </c>
      <c r="CJ21" s="387">
        <v>0</v>
      </c>
      <c r="CK21" s="387">
        <v>0</v>
      </c>
      <c r="CL21" s="387">
        <v>0</v>
      </c>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545">
        <f t="shared" si="15"/>
        <v>849.83079099999998</v>
      </c>
      <c r="DX21" s="858"/>
      <c r="DY21" s="706"/>
      <c r="DZ21" s="872"/>
      <c r="EA21" s="873"/>
      <c r="EB21" s="859"/>
      <c r="EC21" s="859"/>
      <c r="ED21" s="859"/>
      <c r="EE21" s="859"/>
      <c r="EF21" s="861"/>
      <c r="EG21" s="1107"/>
      <c r="EI21" s="858"/>
      <c r="EJ21" s="877"/>
      <c r="ER21" s="497"/>
    </row>
    <row r="22" spans="1:148" s="278" customFormat="1" ht="24" outlineLevel="2" x14ac:dyDescent="0.2">
      <c r="A22" s="892" t="s">
        <v>369</v>
      </c>
      <c r="B22" s="897" t="s">
        <v>159</v>
      </c>
      <c r="C22" s="949"/>
      <c r="D22" s="863">
        <f>+'Detalle Plan de Adquisiciones'!M7</f>
        <v>14147032722</v>
      </c>
      <c r="E22" s="866" t="s">
        <v>408</v>
      </c>
      <c r="F22" s="312" t="s">
        <v>410</v>
      </c>
      <c r="G22" s="354">
        <v>0</v>
      </c>
      <c r="H22" s="354">
        <v>0</v>
      </c>
      <c r="I22" s="354">
        <v>0</v>
      </c>
      <c r="J22" s="354">
        <v>0</v>
      </c>
      <c r="K22" s="354">
        <v>0</v>
      </c>
      <c r="L22" s="354">
        <v>0</v>
      </c>
      <c r="M22" s="354">
        <v>0</v>
      </c>
      <c r="N22" s="354">
        <v>0</v>
      </c>
      <c r="O22" s="354">
        <v>0</v>
      </c>
      <c r="P22" s="354">
        <v>0</v>
      </c>
      <c r="Q22" s="354">
        <v>0</v>
      </c>
      <c r="R22" s="354">
        <v>0</v>
      </c>
      <c r="S22" s="354">
        <v>0</v>
      </c>
      <c r="T22" s="354">
        <v>0</v>
      </c>
      <c r="U22" s="354">
        <v>0</v>
      </c>
      <c r="V22" s="354">
        <v>0</v>
      </c>
      <c r="W22" s="354">
        <v>0</v>
      </c>
      <c r="X22" s="354">
        <v>0</v>
      </c>
      <c r="Y22" s="354">
        <v>0</v>
      </c>
      <c r="Z22" s="354">
        <v>0</v>
      </c>
      <c r="AA22" s="354">
        <v>0</v>
      </c>
      <c r="AB22" s="354">
        <v>0</v>
      </c>
      <c r="AC22" s="354">
        <v>0</v>
      </c>
      <c r="AD22" s="354">
        <v>0</v>
      </c>
      <c r="AE22" s="354">
        <v>0</v>
      </c>
      <c r="AF22" s="354">
        <v>0</v>
      </c>
      <c r="AG22" s="354">
        <v>0</v>
      </c>
      <c r="AH22" s="354">
        <v>0</v>
      </c>
      <c r="AI22" s="354">
        <v>0</v>
      </c>
      <c r="AJ22" s="354">
        <v>0</v>
      </c>
      <c r="AK22" s="354">
        <v>0</v>
      </c>
      <c r="AL22" s="354">
        <v>0</v>
      </c>
      <c r="AM22" s="560">
        <v>0</v>
      </c>
      <c r="AN22" s="354">
        <v>0</v>
      </c>
      <c r="AO22" s="354">
        <v>0</v>
      </c>
      <c r="AP22" s="354">
        <v>0</v>
      </c>
      <c r="AQ22" s="354">
        <v>0</v>
      </c>
      <c r="AR22" s="354">
        <v>0</v>
      </c>
      <c r="AS22" s="354">
        <v>0</v>
      </c>
      <c r="AT22" s="354">
        <v>0</v>
      </c>
      <c r="AU22" s="354">
        <v>0</v>
      </c>
      <c r="AV22" s="354">
        <v>0</v>
      </c>
      <c r="AW22" s="354">
        <v>0</v>
      </c>
      <c r="AX22" s="354">
        <v>0</v>
      </c>
      <c r="AY22" s="354">
        <v>0</v>
      </c>
      <c r="AZ22" s="354">
        <v>0</v>
      </c>
      <c r="BA22" s="354">
        <v>0</v>
      </c>
      <c r="BB22" s="354">
        <v>0</v>
      </c>
      <c r="BC22" s="354">
        <v>0</v>
      </c>
      <c r="BD22" s="354">
        <v>0</v>
      </c>
      <c r="BE22" s="354">
        <v>0</v>
      </c>
      <c r="BF22" s="354">
        <v>0</v>
      </c>
      <c r="BG22" s="354">
        <v>0</v>
      </c>
      <c r="BH22" s="354">
        <v>0</v>
      </c>
      <c r="BI22" s="354">
        <v>0</v>
      </c>
      <c r="BJ22" s="354">
        <v>0</v>
      </c>
      <c r="BK22" s="354">
        <v>0</v>
      </c>
      <c r="BL22" s="354">
        <v>0</v>
      </c>
      <c r="BM22" s="354">
        <v>0</v>
      </c>
      <c r="BN22" s="354">
        <v>0</v>
      </c>
      <c r="BO22" s="354">
        <v>0</v>
      </c>
      <c r="BP22" s="354">
        <v>0</v>
      </c>
      <c r="BQ22" s="354">
        <v>0</v>
      </c>
      <c r="BR22" s="354">
        <v>0</v>
      </c>
      <c r="BS22" s="354">
        <v>0</v>
      </c>
      <c r="BT22" s="354">
        <v>0</v>
      </c>
      <c r="BU22" s="354">
        <v>0</v>
      </c>
      <c r="BV22" s="354">
        <v>0</v>
      </c>
      <c r="BW22" s="354">
        <v>0</v>
      </c>
      <c r="BX22" s="354">
        <v>0</v>
      </c>
      <c r="BY22" s="354">
        <v>0</v>
      </c>
      <c r="BZ22" s="354">
        <v>0</v>
      </c>
      <c r="CA22" s="354">
        <v>0</v>
      </c>
      <c r="CB22" s="354">
        <v>0</v>
      </c>
      <c r="CC22" s="354">
        <v>0</v>
      </c>
      <c r="CD22" s="354">
        <v>0</v>
      </c>
      <c r="CE22" s="354">
        <v>0</v>
      </c>
      <c r="CF22" s="354">
        <v>0</v>
      </c>
      <c r="CG22" s="354">
        <v>0</v>
      </c>
      <c r="CH22" s="354">
        <v>0</v>
      </c>
      <c r="CI22" s="354">
        <v>0</v>
      </c>
      <c r="CJ22" s="354">
        <v>0</v>
      </c>
      <c r="CK22" s="354">
        <v>0</v>
      </c>
      <c r="CL22" s="354">
        <v>0</v>
      </c>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543">
        <f>SUM(G22:DV22)</f>
        <v>0</v>
      </c>
      <c r="DX22" s="858">
        <f>DW22+DW23+DW24</f>
        <v>14147.032722</v>
      </c>
      <c r="DY22" s="704">
        <f>+DX22*1000000</f>
        <v>14147032722</v>
      </c>
      <c r="DZ22" s="870">
        <f>+DY22-D22</f>
        <v>0</v>
      </c>
      <c r="EA22" s="874" t="str">
        <f>VLOOKUP(POA!$B22,'Detalle Plan de Adquisiciones'!$G$6:$AF$66,23,0)</f>
        <v>N/A</v>
      </c>
      <c r="EB22" s="860">
        <f>VLOOKUP(POA!$B22,'Detalle Plan de Adquisiciones'!$G$6:$AF$66,25,0)</f>
        <v>41247</v>
      </c>
      <c r="EC22" s="860">
        <f>EB22+30</f>
        <v>41277</v>
      </c>
      <c r="ED22" s="860" t="e">
        <f>CONCATENATE(MONTH(EA22),"-",YEAR(EA22))</f>
        <v>#VALUE!</v>
      </c>
      <c r="EE22" s="860" t="str">
        <f>CONCATENATE(MONTH(EB22),"-",YEAR(EB22))</f>
        <v>12-2012</v>
      </c>
      <c r="EF22" s="862" t="str">
        <f>CONCATENATE(MONTH(EC22),"-",YEAR(EC22))</f>
        <v>1-2013</v>
      </c>
      <c r="EG22" s="1105" t="e">
        <f>+YEAR(EA22)</f>
        <v>#VALUE!</v>
      </c>
      <c r="EH22" s="393">
        <f>+DY22</f>
        <v>14147032722</v>
      </c>
      <c r="EI22" s="858">
        <f>+DW22+DW23+DW24</f>
        <v>14147.032722</v>
      </c>
      <c r="EJ22" s="877">
        <f>+D22/1000000-EI22</f>
        <v>0</v>
      </c>
      <c r="ER22" s="497"/>
    </row>
    <row r="23" spans="1:148" s="278" customFormat="1" outlineLevel="2" x14ac:dyDescent="0.2">
      <c r="A23" s="893"/>
      <c r="B23" s="886"/>
      <c r="C23" s="950"/>
      <c r="D23" s="864"/>
      <c r="E23" s="867"/>
      <c r="F23" s="311" t="s">
        <v>210</v>
      </c>
      <c r="G23" s="363">
        <v>0</v>
      </c>
      <c r="H23" s="363">
        <v>0</v>
      </c>
      <c r="I23" s="363">
        <v>0</v>
      </c>
      <c r="J23" s="363">
        <v>0</v>
      </c>
      <c r="K23" s="363">
        <v>0</v>
      </c>
      <c r="L23" s="363">
        <v>0</v>
      </c>
      <c r="M23" s="363">
        <v>0</v>
      </c>
      <c r="N23" s="363">
        <v>0</v>
      </c>
      <c r="O23" s="363">
        <v>0</v>
      </c>
      <c r="P23" s="363">
        <v>0</v>
      </c>
      <c r="Q23" s="363">
        <v>0</v>
      </c>
      <c r="R23" s="363">
        <v>0</v>
      </c>
      <c r="S23" s="363">
        <v>0</v>
      </c>
      <c r="T23" s="363">
        <v>0</v>
      </c>
      <c r="U23" s="363">
        <v>0</v>
      </c>
      <c r="V23" s="363">
        <v>0</v>
      </c>
      <c r="W23" s="363">
        <v>0</v>
      </c>
      <c r="X23" s="363">
        <v>3900</v>
      </c>
      <c r="Y23" s="363">
        <v>0</v>
      </c>
      <c r="Z23" s="363">
        <v>0</v>
      </c>
      <c r="AA23" s="363">
        <v>0</v>
      </c>
      <c r="AB23" s="363">
        <v>0</v>
      </c>
      <c r="AC23" s="363">
        <v>0</v>
      </c>
      <c r="AD23" s="363">
        <v>0</v>
      </c>
      <c r="AE23" s="364">
        <v>0</v>
      </c>
      <c r="AF23" s="363"/>
      <c r="AG23" s="364">
        <v>0</v>
      </c>
      <c r="AH23" s="363">
        <v>0</v>
      </c>
      <c r="AI23" s="363">
        <v>1622.8063837699999</v>
      </c>
      <c r="AJ23" s="363">
        <v>0</v>
      </c>
      <c r="AK23" s="363">
        <v>0</v>
      </c>
      <c r="AL23" s="363">
        <v>0</v>
      </c>
      <c r="AM23" s="364">
        <v>2600</v>
      </c>
      <c r="AN23" s="363">
        <v>0</v>
      </c>
      <c r="AO23" s="363">
        <v>0</v>
      </c>
      <c r="AP23" s="363"/>
      <c r="AQ23" s="363">
        <v>1147.0327219999999</v>
      </c>
      <c r="AR23" s="363">
        <v>0</v>
      </c>
      <c r="AS23" s="363">
        <v>0</v>
      </c>
      <c r="AT23" s="363">
        <v>0</v>
      </c>
      <c r="AU23" s="363">
        <v>0</v>
      </c>
      <c r="AV23" s="363">
        <v>0</v>
      </c>
      <c r="AW23" s="363">
        <v>0</v>
      </c>
      <c r="AX23" s="363">
        <v>0</v>
      </c>
      <c r="AY23" s="363">
        <v>0</v>
      </c>
      <c r="AZ23" s="363">
        <v>0</v>
      </c>
      <c r="BA23" s="363">
        <v>0</v>
      </c>
      <c r="BB23" s="363">
        <v>0</v>
      </c>
      <c r="BC23" s="363">
        <v>0</v>
      </c>
      <c r="BD23" s="363">
        <v>0</v>
      </c>
      <c r="BE23" s="363">
        <v>0</v>
      </c>
      <c r="BF23" s="363">
        <v>0</v>
      </c>
      <c r="BG23" s="363">
        <v>0</v>
      </c>
      <c r="BH23" s="363">
        <v>0</v>
      </c>
      <c r="BI23" s="363">
        <v>0</v>
      </c>
      <c r="BJ23" s="363">
        <v>0</v>
      </c>
      <c r="BK23" s="363">
        <v>0</v>
      </c>
      <c r="BL23" s="363">
        <v>0</v>
      </c>
      <c r="BM23" s="363">
        <v>0</v>
      </c>
      <c r="BN23" s="363">
        <v>0</v>
      </c>
      <c r="BO23" s="363">
        <v>0</v>
      </c>
      <c r="BP23" s="363">
        <v>0</v>
      </c>
      <c r="BQ23" s="363">
        <v>0</v>
      </c>
      <c r="BR23" s="363">
        <v>0</v>
      </c>
      <c r="BS23" s="363">
        <v>0</v>
      </c>
      <c r="BT23" s="363">
        <v>0</v>
      </c>
      <c r="BU23" s="363">
        <v>0</v>
      </c>
      <c r="BV23" s="363">
        <v>0</v>
      </c>
      <c r="BW23" s="363">
        <v>0</v>
      </c>
      <c r="BX23" s="363">
        <v>0</v>
      </c>
      <c r="BY23" s="363">
        <v>0</v>
      </c>
      <c r="BZ23" s="363">
        <v>0</v>
      </c>
      <c r="CA23" s="363">
        <v>0</v>
      </c>
      <c r="CB23" s="363">
        <v>0</v>
      </c>
      <c r="CC23" s="363">
        <v>0</v>
      </c>
      <c r="CD23" s="363">
        <v>0</v>
      </c>
      <c r="CE23" s="363">
        <v>0</v>
      </c>
      <c r="CF23" s="363">
        <v>0</v>
      </c>
      <c r="CG23" s="363">
        <v>0</v>
      </c>
      <c r="CH23" s="363">
        <v>0</v>
      </c>
      <c r="CI23" s="363">
        <v>0</v>
      </c>
      <c r="CJ23" s="363">
        <v>0</v>
      </c>
      <c r="CK23" s="363">
        <v>0</v>
      </c>
      <c r="CL23" s="363">
        <v>0</v>
      </c>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I23" s="363"/>
      <c r="DJ23" s="363"/>
      <c r="DK23" s="363"/>
      <c r="DL23" s="363"/>
      <c r="DM23" s="363"/>
      <c r="DN23" s="363"/>
      <c r="DO23" s="363"/>
      <c r="DP23" s="363"/>
      <c r="DQ23" s="363"/>
      <c r="DR23" s="363"/>
      <c r="DS23" s="363"/>
      <c r="DT23" s="363"/>
      <c r="DU23" s="363"/>
      <c r="DV23" s="363"/>
      <c r="DW23" s="544">
        <f t="shared" si="15"/>
        <v>9269.8391057699992</v>
      </c>
      <c r="DX23" s="858"/>
      <c r="DY23" s="705"/>
      <c r="DZ23" s="871"/>
      <c r="EA23" s="895"/>
      <c r="EB23" s="878"/>
      <c r="EC23" s="878"/>
      <c r="ED23" s="878"/>
      <c r="EE23" s="878"/>
      <c r="EF23" s="880"/>
      <c r="EG23" s="1106"/>
      <c r="EI23" s="858"/>
      <c r="EJ23" s="877"/>
      <c r="ER23" s="497"/>
    </row>
    <row r="24" spans="1:148" s="278" customFormat="1" ht="12.75" outlineLevel="2" thickBot="1" x14ac:dyDescent="0.25">
      <c r="A24" s="894"/>
      <c r="B24" s="887"/>
      <c r="C24" s="951"/>
      <c r="D24" s="865"/>
      <c r="E24" s="868"/>
      <c r="F24" s="315" t="s">
        <v>211</v>
      </c>
      <c r="G24" s="364">
        <v>0</v>
      </c>
      <c r="H24" s="364">
        <v>0</v>
      </c>
      <c r="I24" s="364">
        <v>0</v>
      </c>
      <c r="J24" s="364">
        <v>0</v>
      </c>
      <c r="K24" s="364">
        <v>0</v>
      </c>
      <c r="L24" s="364">
        <v>0</v>
      </c>
      <c r="M24" s="364">
        <v>0</v>
      </c>
      <c r="N24" s="364">
        <v>0</v>
      </c>
      <c r="O24" s="364">
        <v>0</v>
      </c>
      <c r="P24" s="364">
        <v>0</v>
      </c>
      <c r="Q24" s="364">
        <v>0</v>
      </c>
      <c r="R24" s="364">
        <v>0</v>
      </c>
      <c r="S24" s="364">
        <v>0</v>
      </c>
      <c r="T24" s="364">
        <v>0</v>
      </c>
      <c r="U24" s="364">
        <v>0</v>
      </c>
      <c r="V24" s="364">
        <v>0</v>
      </c>
      <c r="W24" s="364">
        <v>0</v>
      </c>
      <c r="X24" s="363">
        <v>0</v>
      </c>
      <c r="Y24" s="364">
        <v>0</v>
      </c>
      <c r="Z24" s="364">
        <v>0</v>
      </c>
      <c r="AA24" s="364">
        <v>0</v>
      </c>
      <c r="AB24" s="364">
        <v>0</v>
      </c>
      <c r="AC24" s="364">
        <v>0</v>
      </c>
      <c r="AD24" s="364">
        <v>534</v>
      </c>
      <c r="AE24" s="364">
        <v>1416</v>
      </c>
      <c r="AF24" s="364">
        <v>0</v>
      </c>
      <c r="AG24" s="364">
        <v>956.77425300000004</v>
      </c>
      <c r="AH24" s="364">
        <v>0</v>
      </c>
      <c r="AI24" s="364">
        <v>1970.41936323</v>
      </c>
      <c r="AJ24" s="364">
        <v>0</v>
      </c>
      <c r="AK24" s="364">
        <v>0</v>
      </c>
      <c r="AL24" s="364">
        <v>0</v>
      </c>
      <c r="AM24" s="524">
        <v>0</v>
      </c>
      <c r="AN24" s="364">
        <v>0</v>
      </c>
      <c r="AO24" s="364">
        <v>0</v>
      </c>
      <c r="AP24" s="364">
        <v>0</v>
      </c>
      <c r="AQ24" s="364">
        <v>0</v>
      </c>
      <c r="AR24" s="364">
        <v>0</v>
      </c>
      <c r="AS24" s="364">
        <v>0</v>
      </c>
      <c r="AT24" s="364">
        <v>0</v>
      </c>
      <c r="AU24" s="364">
        <v>0</v>
      </c>
      <c r="AV24" s="364">
        <v>0</v>
      </c>
      <c r="AW24" s="364">
        <v>0</v>
      </c>
      <c r="AX24" s="364">
        <v>0</v>
      </c>
      <c r="AY24" s="364">
        <v>0</v>
      </c>
      <c r="AZ24" s="364">
        <v>0</v>
      </c>
      <c r="BA24" s="364">
        <v>0</v>
      </c>
      <c r="BB24" s="364">
        <v>0</v>
      </c>
      <c r="BC24" s="364">
        <v>0</v>
      </c>
      <c r="BD24" s="364">
        <v>0</v>
      </c>
      <c r="BE24" s="364">
        <v>0</v>
      </c>
      <c r="BF24" s="364">
        <v>0</v>
      </c>
      <c r="BG24" s="364">
        <v>0</v>
      </c>
      <c r="BH24" s="364">
        <v>0</v>
      </c>
      <c r="BI24" s="364">
        <v>0</v>
      </c>
      <c r="BJ24" s="364">
        <v>0</v>
      </c>
      <c r="BK24" s="364">
        <v>0</v>
      </c>
      <c r="BL24" s="364">
        <v>0</v>
      </c>
      <c r="BM24" s="364">
        <v>0</v>
      </c>
      <c r="BN24" s="364">
        <v>0</v>
      </c>
      <c r="BO24" s="364">
        <v>0</v>
      </c>
      <c r="BP24" s="364">
        <v>0</v>
      </c>
      <c r="BQ24" s="364">
        <v>0</v>
      </c>
      <c r="BR24" s="364">
        <v>0</v>
      </c>
      <c r="BS24" s="364">
        <v>0</v>
      </c>
      <c r="BT24" s="364">
        <v>0</v>
      </c>
      <c r="BU24" s="364">
        <v>0</v>
      </c>
      <c r="BV24" s="364">
        <v>0</v>
      </c>
      <c r="BW24" s="364">
        <v>0</v>
      </c>
      <c r="BX24" s="364">
        <v>0</v>
      </c>
      <c r="BY24" s="364">
        <v>0</v>
      </c>
      <c r="BZ24" s="364">
        <v>0</v>
      </c>
      <c r="CA24" s="364">
        <v>0</v>
      </c>
      <c r="CB24" s="364">
        <v>0</v>
      </c>
      <c r="CC24" s="364">
        <v>0</v>
      </c>
      <c r="CD24" s="364">
        <v>0</v>
      </c>
      <c r="CE24" s="364">
        <v>0</v>
      </c>
      <c r="CF24" s="364">
        <v>0</v>
      </c>
      <c r="CG24" s="364">
        <v>0</v>
      </c>
      <c r="CH24" s="364">
        <v>0</v>
      </c>
      <c r="CI24" s="364">
        <v>0</v>
      </c>
      <c r="CJ24" s="364" t="s">
        <v>158</v>
      </c>
      <c r="CK24" s="364">
        <v>0</v>
      </c>
      <c r="CL24" s="364">
        <v>0</v>
      </c>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649">
        <f t="shared" si="15"/>
        <v>4877.1936162299999</v>
      </c>
      <c r="DX24" s="858"/>
      <c r="DY24" s="706"/>
      <c r="DZ24" s="872"/>
      <c r="EA24" s="896"/>
      <c r="EB24" s="879"/>
      <c r="EC24" s="879"/>
      <c r="ED24" s="879"/>
      <c r="EE24" s="879"/>
      <c r="EF24" s="881"/>
      <c r="EG24" s="1107"/>
      <c r="EI24" s="858"/>
      <c r="EJ24" s="877"/>
      <c r="ER24" s="497"/>
    </row>
    <row r="25" spans="1:148" s="278" customFormat="1" ht="12" customHeight="1" outlineLevel="2" x14ac:dyDescent="0.2">
      <c r="A25" s="892" t="s">
        <v>370</v>
      </c>
      <c r="B25" s="897">
        <v>5</v>
      </c>
      <c r="C25" s="902"/>
      <c r="D25" s="863">
        <f>+'Detalle Plan de Adquisiciones'!M8</f>
        <v>7204784374</v>
      </c>
      <c r="E25" s="866" t="s">
        <v>409</v>
      </c>
      <c r="F25" s="312" t="s">
        <v>410</v>
      </c>
      <c r="G25" s="354">
        <v>0</v>
      </c>
      <c r="H25" s="354">
        <v>0</v>
      </c>
      <c r="I25" s="354">
        <v>0</v>
      </c>
      <c r="J25" s="354">
        <v>0</v>
      </c>
      <c r="K25" s="354">
        <v>0</v>
      </c>
      <c r="L25" s="354">
        <v>0</v>
      </c>
      <c r="M25" s="354">
        <v>0</v>
      </c>
      <c r="N25" s="354">
        <v>0</v>
      </c>
      <c r="O25" s="354">
        <v>0</v>
      </c>
      <c r="P25" s="354">
        <v>0</v>
      </c>
      <c r="Q25" s="354">
        <v>0</v>
      </c>
      <c r="R25" s="354">
        <v>0</v>
      </c>
      <c r="S25" s="354">
        <v>0</v>
      </c>
      <c r="T25" s="354">
        <v>0</v>
      </c>
      <c r="U25" s="354">
        <v>0</v>
      </c>
      <c r="V25" s="354">
        <v>0</v>
      </c>
      <c r="W25" s="354">
        <v>0</v>
      </c>
      <c r="X25" s="354">
        <v>0</v>
      </c>
      <c r="Y25" s="354">
        <v>0</v>
      </c>
      <c r="Z25" s="354">
        <v>0</v>
      </c>
      <c r="AA25" s="354">
        <v>0</v>
      </c>
      <c r="AB25" s="354">
        <v>0</v>
      </c>
      <c r="AC25" s="354">
        <v>0</v>
      </c>
      <c r="AD25" s="354">
        <v>0</v>
      </c>
      <c r="AE25" s="354">
        <v>0</v>
      </c>
      <c r="AF25" s="354">
        <v>0</v>
      </c>
      <c r="AG25" s="354">
        <v>0</v>
      </c>
      <c r="AH25" s="354">
        <v>0</v>
      </c>
      <c r="AI25" s="354">
        <v>0</v>
      </c>
      <c r="AJ25" s="354">
        <v>0</v>
      </c>
      <c r="AK25" s="354">
        <v>0</v>
      </c>
      <c r="AL25" s="354">
        <v>0</v>
      </c>
      <c r="AM25" s="354">
        <v>0</v>
      </c>
      <c r="AN25" s="354">
        <v>0</v>
      </c>
      <c r="AO25" s="354">
        <v>0</v>
      </c>
      <c r="AP25" s="354">
        <v>0</v>
      </c>
      <c r="AQ25" s="354">
        <v>0</v>
      </c>
      <c r="AR25" s="354">
        <v>0</v>
      </c>
      <c r="AS25" s="354">
        <v>0</v>
      </c>
      <c r="AT25" s="354">
        <v>0</v>
      </c>
      <c r="AU25" s="354">
        <v>0</v>
      </c>
      <c r="AV25" s="354">
        <v>0</v>
      </c>
      <c r="AW25" s="354">
        <v>0</v>
      </c>
      <c r="AX25" s="354">
        <v>0</v>
      </c>
      <c r="AY25" s="354">
        <v>0</v>
      </c>
      <c r="AZ25" s="354">
        <v>0</v>
      </c>
      <c r="BA25" s="354">
        <v>0</v>
      </c>
      <c r="BB25" s="354">
        <v>0</v>
      </c>
      <c r="BC25" s="354">
        <v>0</v>
      </c>
      <c r="BD25" s="354">
        <v>0</v>
      </c>
      <c r="BE25" s="354">
        <v>0</v>
      </c>
      <c r="BF25" s="354">
        <v>0</v>
      </c>
      <c r="BG25" s="354">
        <v>0</v>
      </c>
      <c r="BH25" s="354">
        <v>0</v>
      </c>
      <c r="BI25" s="354">
        <v>0</v>
      </c>
      <c r="BJ25" s="354">
        <v>0</v>
      </c>
      <c r="BK25" s="354">
        <v>0</v>
      </c>
      <c r="BL25" s="354">
        <v>0</v>
      </c>
      <c r="BM25" s="354">
        <v>0</v>
      </c>
      <c r="BN25" s="354">
        <v>0</v>
      </c>
      <c r="BO25" s="354">
        <v>0</v>
      </c>
      <c r="BP25" s="354">
        <v>0</v>
      </c>
      <c r="BQ25" s="354">
        <v>0</v>
      </c>
      <c r="BR25" s="354">
        <v>0</v>
      </c>
      <c r="BS25" s="354">
        <v>0</v>
      </c>
      <c r="BT25" s="354">
        <v>0</v>
      </c>
      <c r="BU25" s="354">
        <v>0</v>
      </c>
      <c r="BV25" s="354">
        <v>0</v>
      </c>
      <c r="BW25" s="354">
        <v>0</v>
      </c>
      <c r="BX25" s="354">
        <v>0</v>
      </c>
      <c r="BY25" s="354">
        <v>0</v>
      </c>
      <c r="BZ25" s="354">
        <v>0</v>
      </c>
      <c r="CA25" s="354">
        <v>0</v>
      </c>
      <c r="CB25" s="354">
        <v>0</v>
      </c>
      <c r="CC25" s="354">
        <v>0</v>
      </c>
      <c r="CD25" s="354">
        <v>0</v>
      </c>
      <c r="CE25" s="354">
        <v>0</v>
      </c>
      <c r="CF25" s="354">
        <v>0</v>
      </c>
      <c r="CG25" s="354">
        <v>0</v>
      </c>
      <c r="CH25" s="354">
        <v>0</v>
      </c>
      <c r="CI25" s="354">
        <v>0</v>
      </c>
      <c r="CJ25" s="354">
        <v>0</v>
      </c>
      <c r="CK25" s="354">
        <v>0</v>
      </c>
      <c r="CL25" s="354">
        <v>0</v>
      </c>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543">
        <f>SUM(G25:DV25)</f>
        <v>0</v>
      </c>
      <c r="DX25" s="858">
        <f>DW25+DW26+DW27</f>
        <v>7204.7843739999989</v>
      </c>
      <c r="DY25" s="704">
        <f>+DX25*1000000</f>
        <v>7204784373.999999</v>
      </c>
      <c r="DZ25" s="870">
        <f>+DY25-D25</f>
        <v>0</v>
      </c>
      <c r="EA25" s="873" t="str">
        <f>VLOOKUP(POA!$B25,'Detalle Plan de Adquisiciones'!$G$6:$AF$66,23,0)</f>
        <v>N/A</v>
      </c>
      <c r="EB25" s="859">
        <f>VLOOKUP(POA!$B25,'Detalle Plan de Adquisiciones'!$G$6:$AF$66,25,0)</f>
        <v>41163</v>
      </c>
      <c r="EC25" s="859">
        <f>EB25+30</f>
        <v>41193</v>
      </c>
      <c r="ED25" s="859" t="e">
        <f>CONCATENATE(MONTH(EA25),"-",YEAR(EA25))</f>
        <v>#VALUE!</v>
      </c>
      <c r="EE25" s="859" t="str">
        <f>CONCATENATE(MONTH(EB25),"-",YEAR(EB25))</f>
        <v>9-2012</v>
      </c>
      <c r="EF25" s="861" t="str">
        <f>CONCATENATE(MONTH(EC25),"-",YEAR(EC25))</f>
        <v>10-2012</v>
      </c>
      <c r="EG25" s="1105" t="e">
        <f>+YEAR(EA25)</f>
        <v>#VALUE!</v>
      </c>
      <c r="EH25" s="393">
        <f>+DY25</f>
        <v>7204784373.999999</v>
      </c>
      <c r="EI25" s="858">
        <f>+DW25+DW26+DW27</f>
        <v>7204.7843739999989</v>
      </c>
      <c r="EJ25" s="877">
        <f>+D25/1000000-EI25</f>
        <v>0</v>
      </c>
      <c r="ER25" s="497"/>
    </row>
    <row r="26" spans="1:148" s="278" customFormat="1" ht="12" customHeight="1" outlineLevel="2" x14ac:dyDescent="0.2">
      <c r="A26" s="893"/>
      <c r="B26" s="886"/>
      <c r="C26" s="903"/>
      <c r="D26" s="864"/>
      <c r="E26" s="867"/>
      <c r="F26" s="311" t="s">
        <v>210</v>
      </c>
      <c r="G26" s="363">
        <v>0</v>
      </c>
      <c r="H26" s="363">
        <v>0</v>
      </c>
      <c r="I26" s="363">
        <v>0</v>
      </c>
      <c r="J26" s="363">
        <v>0</v>
      </c>
      <c r="K26" s="363">
        <v>0</v>
      </c>
      <c r="L26" s="363">
        <v>0</v>
      </c>
      <c r="M26" s="363">
        <v>0</v>
      </c>
      <c r="N26" s="363">
        <v>0</v>
      </c>
      <c r="O26" s="363">
        <v>0</v>
      </c>
      <c r="P26" s="363">
        <v>0</v>
      </c>
      <c r="Q26" s="363">
        <v>0</v>
      </c>
      <c r="R26" s="363">
        <v>0</v>
      </c>
      <c r="S26" s="363">
        <v>0</v>
      </c>
      <c r="T26" s="363">
        <v>0</v>
      </c>
      <c r="U26" s="363">
        <v>0</v>
      </c>
      <c r="V26" s="363">
        <v>0</v>
      </c>
      <c r="W26" s="363">
        <v>0</v>
      </c>
      <c r="X26" s="363">
        <v>0</v>
      </c>
      <c r="Y26" s="363">
        <v>697.38541599999996</v>
      </c>
      <c r="Z26" s="363">
        <v>0</v>
      </c>
      <c r="AA26" s="363">
        <v>0</v>
      </c>
      <c r="AB26" s="363"/>
      <c r="AC26" s="363">
        <v>0</v>
      </c>
      <c r="AD26" s="363">
        <v>0</v>
      </c>
      <c r="AE26" s="363">
        <v>1080.717656</v>
      </c>
      <c r="AF26" s="363">
        <v>0</v>
      </c>
      <c r="AG26" s="363">
        <v>1440.9568750000001</v>
      </c>
      <c r="AH26" s="363">
        <v>0</v>
      </c>
      <c r="AI26" s="363"/>
      <c r="AJ26" s="363">
        <v>0</v>
      </c>
      <c r="AK26" s="385">
        <v>1440.9568750000001</v>
      </c>
      <c r="AL26" s="363">
        <v>0</v>
      </c>
      <c r="AM26" s="363">
        <v>0</v>
      </c>
      <c r="AN26" s="363">
        <v>0</v>
      </c>
      <c r="AO26" s="363">
        <v>0</v>
      </c>
      <c r="AP26" s="363">
        <v>0</v>
      </c>
      <c r="AQ26" s="363">
        <v>0</v>
      </c>
      <c r="AR26" s="363">
        <v>0</v>
      </c>
      <c r="AS26" s="363">
        <v>0</v>
      </c>
      <c r="AT26" s="363">
        <v>1080.717656</v>
      </c>
      <c r="AU26" s="363">
        <v>0</v>
      </c>
      <c r="AV26" s="363">
        <v>0</v>
      </c>
      <c r="AW26" s="363">
        <v>0</v>
      </c>
      <c r="AX26" s="363">
        <v>0</v>
      </c>
      <c r="AY26" s="363">
        <v>0</v>
      </c>
      <c r="AZ26" s="363">
        <v>0</v>
      </c>
      <c r="BA26" s="363">
        <v>0</v>
      </c>
      <c r="BB26" s="363">
        <v>0</v>
      </c>
      <c r="BC26" s="363">
        <v>0</v>
      </c>
      <c r="BD26" s="363">
        <v>0</v>
      </c>
      <c r="BE26" s="363">
        <v>0</v>
      </c>
      <c r="BF26" s="363">
        <v>0</v>
      </c>
      <c r="BG26" s="363">
        <v>0</v>
      </c>
      <c r="BH26" s="363">
        <v>0</v>
      </c>
      <c r="BI26" s="363">
        <v>0</v>
      </c>
      <c r="BJ26" s="363">
        <v>0</v>
      </c>
      <c r="BK26" s="363">
        <v>0</v>
      </c>
      <c r="BL26" s="363">
        <v>0</v>
      </c>
      <c r="BM26" s="363">
        <v>0</v>
      </c>
      <c r="BN26" s="363">
        <v>0</v>
      </c>
      <c r="BO26" s="363">
        <v>0</v>
      </c>
      <c r="BP26" s="363">
        <v>0</v>
      </c>
      <c r="BQ26" s="363">
        <v>0</v>
      </c>
      <c r="BR26" s="363">
        <v>0</v>
      </c>
      <c r="BS26" s="363">
        <v>0</v>
      </c>
      <c r="BT26" s="363">
        <v>0</v>
      </c>
      <c r="BU26" s="363">
        <v>0</v>
      </c>
      <c r="BV26" s="363">
        <v>0</v>
      </c>
      <c r="BW26" s="363">
        <v>0</v>
      </c>
      <c r="BX26" s="363">
        <v>0</v>
      </c>
      <c r="BY26" s="363">
        <v>0</v>
      </c>
      <c r="BZ26" s="363">
        <v>0</v>
      </c>
      <c r="CA26" s="363">
        <v>0</v>
      </c>
      <c r="CB26" s="363">
        <v>0</v>
      </c>
      <c r="CC26" s="363">
        <v>0</v>
      </c>
      <c r="CD26" s="363">
        <v>0</v>
      </c>
      <c r="CE26" s="363">
        <v>0</v>
      </c>
      <c r="CF26" s="363">
        <v>0</v>
      </c>
      <c r="CG26" s="363">
        <v>0</v>
      </c>
      <c r="CH26" s="363">
        <v>0</v>
      </c>
      <c r="CI26" s="363">
        <v>0</v>
      </c>
      <c r="CJ26" s="363">
        <v>0</v>
      </c>
      <c r="CK26" s="363">
        <v>0</v>
      </c>
      <c r="CL26" s="363">
        <v>0</v>
      </c>
      <c r="CM26" s="363"/>
      <c r="CN26" s="363"/>
      <c r="CO26" s="363"/>
      <c r="CP26" s="363"/>
      <c r="CQ26" s="363"/>
      <c r="CR26" s="363"/>
      <c r="CS26" s="363"/>
      <c r="CT26" s="363"/>
      <c r="CU26" s="363"/>
      <c r="CV26" s="363"/>
      <c r="CW26" s="363"/>
      <c r="CX26" s="363"/>
      <c r="CY26" s="363"/>
      <c r="CZ26" s="363"/>
      <c r="DA26" s="363"/>
      <c r="DB26" s="363"/>
      <c r="DC26" s="363"/>
      <c r="DD26" s="363"/>
      <c r="DE26" s="363"/>
      <c r="DF26" s="363"/>
      <c r="DG26" s="363"/>
      <c r="DH26" s="363"/>
      <c r="DI26" s="363"/>
      <c r="DJ26" s="363"/>
      <c r="DK26" s="363"/>
      <c r="DL26" s="363"/>
      <c r="DM26" s="363"/>
      <c r="DN26" s="363"/>
      <c r="DO26" s="363"/>
      <c r="DP26" s="363"/>
      <c r="DQ26" s="363"/>
      <c r="DR26" s="363"/>
      <c r="DS26" s="363"/>
      <c r="DT26" s="363"/>
      <c r="DU26" s="363"/>
      <c r="DV26" s="363"/>
      <c r="DW26" s="544">
        <f t="shared" si="15"/>
        <v>5740.7344779999994</v>
      </c>
      <c r="DX26" s="858"/>
      <c r="DY26" s="705"/>
      <c r="DZ26" s="871"/>
      <c r="EA26" s="873"/>
      <c r="EB26" s="859"/>
      <c r="EC26" s="859"/>
      <c r="ED26" s="859"/>
      <c r="EE26" s="859"/>
      <c r="EF26" s="861"/>
      <c r="EG26" s="1106"/>
      <c r="EI26" s="858"/>
      <c r="EJ26" s="877"/>
      <c r="ER26" s="497"/>
    </row>
    <row r="27" spans="1:148" s="278" customFormat="1" ht="14.25" customHeight="1" outlineLevel="2" thickBot="1" x14ac:dyDescent="0.25">
      <c r="A27" s="894"/>
      <c r="B27" s="908"/>
      <c r="C27" s="909"/>
      <c r="D27" s="876"/>
      <c r="E27" s="875"/>
      <c r="F27" s="313" t="s">
        <v>211</v>
      </c>
      <c r="G27" s="387">
        <v>0</v>
      </c>
      <c r="H27" s="387">
        <v>0</v>
      </c>
      <c r="I27" s="387">
        <v>0</v>
      </c>
      <c r="J27" s="387">
        <v>0</v>
      </c>
      <c r="K27" s="387">
        <v>0</v>
      </c>
      <c r="L27" s="387">
        <v>0</v>
      </c>
      <c r="M27" s="387">
        <v>0</v>
      </c>
      <c r="N27" s="387">
        <v>0</v>
      </c>
      <c r="O27" s="387">
        <v>0</v>
      </c>
      <c r="P27" s="387">
        <v>0</v>
      </c>
      <c r="Q27" s="387">
        <v>0</v>
      </c>
      <c r="R27" s="387">
        <v>0</v>
      </c>
      <c r="S27" s="387">
        <v>0</v>
      </c>
      <c r="T27" s="387">
        <v>0</v>
      </c>
      <c r="U27" s="387">
        <v>0</v>
      </c>
      <c r="V27" s="387">
        <v>0</v>
      </c>
      <c r="W27" s="387">
        <v>0</v>
      </c>
      <c r="X27" s="387">
        <v>0</v>
      </c>
      <c r="Y27" s="387">
        <v>1464.049896</v>
      </c>
      <c r="Z27" s="387">
        <v>0</v>
      </c>
      <c r="AA27" s="387">
        <v>0</v>
      </c>
      <c r="AB27" s="387">
        <v>0</v>
      </c>
      <c r="AC27" s="387">
        <v>0</v>
      </c>
      <c r="AD27" s="387">
        <v>0</v>
      </c>
      <c r="AE27" s="387">
        <v>0</v>
      </c>
      <c r="AF27" s="387">
        <v>0</v>
      </c>
      <c r="AG27" s="387">
        <v>0</v>
      </c>
      <c r="AH27" s="387">
        <v>0</v>
      </c>
      <c r="AI27" s="387">
        <v>0</v>
      </c>
      <c r="AJ27" s="387">
        <v>0</v>
      </c>
      <c r="AK27" s="387"/>
      <c r="AL27" s="387">
        <v>0</v>
      </c>
      <c r="AM27" s="387">
        <v>0</v>
      </c>
      <c r="AN27" s="387">
        <v>0</v>
      </c>
      <c r="AO27" s="387">
        <v>0</v>
      </c>
      <c r="AP27" s="387">
        <v>0</v>
      </c>
      <c r="AQ27" s="387">
        <v>0</v>
      </c>
      <c r="AR27" s="387">
        <v>0</v>
      </c>
      <c r="AS27" s="387">
        <v>0</v>
      </c>
      <c r="AT27" s="387">
        <v>0</v>
      </c>
      <c r="AU27" s="387">
        <v>0</v>
      </c>
      <c r="AV27" s="387">
        <v>0</v>
      </c>
      <c r="AW27" s="387">
        <v>0</v>
      </c>
      <c r="AX27" s="387">
        <v>0</v>
      </c>
      <c r="AY27" s="387">
        <v>0</v>
      </c>
      <c r="AZ27" s="387">
        <v>0</v>
      </c>
      <c r="BA27" s="387">
        <v>0</v>
      </c>
      <c r="BB27" s="387">
        <v>0</v>
      </c>
      <c r="BC27" s="387">
        <v>0</v>
      </c>
      <c r="BD27" s="387">
        <v>0</v>
      </c>
      <c r="BE27" s="387">
        <v>0</v>
      </c>
      <c r="BF27" s="387">
        <v>0</v>
      </c>
      <c r="BG27" s="387">
        <v>0</v>
      </c>
      <c r="BH27" s="387">
        <v>0</v>
      </c>
      <c r="BI27" s="387">
        <v>0</v>
      </c>
      <c r="BJ27" s="387">
        <v>0</v>
      </c>
      <c r="BK27" s="387">
        <v>0</v>
      </c>
      <c r="BL27" s="387">
        <v>0</v>
      </c>
      <c r="BM27" s="387">
        <v>0</v>
      </c>
      <c r="BN27" s="387">
        <v>0</v>
      </c>
      <c r="BO27" s="387">
        <v>0</v>
      </c>
      <c r="BP27" s="387">
        <v>0</v>
      </c>
      <c r="BQ27" s="387">
        <v>0</v>
      </c>
      <c r="BR27" s="387">
        <v>0</v>
      </c>
      <c r="BS27" s="387">
        <v>0</v>
      </c>
      <c r="BT27" s="387">
        <v>0</v>
      </c>
      <c r="BU27" s="387">
        <v>0</v>
      </c>
      <c r="BV27" s="387">
        <v>0</v>
      </c>
      <c r="BW27" s="387">
        <v>0</v>
      </c>
      <c r="BX27" s="387">
        <v>0</v>
      </c>
      <c r="BY27" s="387">
        <v>0</v>
      </c>
      <c r="BZ27" s="387">
        <v>0</v>
      </c>
      <c r="CA27" s="387">
        <v>0</v>
      </c>
      <c r="CB27" s="387">
        <v>0</v>
      </c>
      <c r="CC27" s="387">
        <v>0</v>
      </c>
      <c r="CD27" s="387">
        <v>0</v>
      </c>
      <c r="CE27" s="387">
        <v>0</v>
      </c>
      <c r="CF27" s="387">
        <v>0</v>
      </c>
      <c r="CG27" s="387">
        <v>0</v>
      </c>
      <c r="CH27" s="387">
        <v>0</v>
      </c>
      <c r="CI27" s="387">
        <v>0</v>
      </c>
      <c r="CJ27" s="387">
        <v>0</v>
      </c>
      <c r="CK27" s="387">
        <v>0</v>
      </c>
      <c r="CL27" s="387">
        <v>0</v>
      </c>
      <c r="CM27" s="387"/>
      <c r="CN27" s="387"/>
      <c r="CO27" s="387"/>
      <c r="CP27" s="387"/>
      <c r="CQ27" s="387"/>
      <c r="CR27" s="387"/>
      <c r="CS27" s="387"/>
      <c r="CT27" s="387"/>
      <c r="CU27" s="387"/>
      <c r="CV27" s="387"/>
      <c r="CW27" s="387"/>
      <c r="CX27" s="387"/>
      <c r="CY27" s="387"/>
      <c r="CZ27" s="387"/>
      <c r="DA27" s="387"/>
      <c r="DB27" s="387"/>
      <c r="DC27" s="387"/>
      <c r="DD27" s="387"/>
      <c r="DE27" s="387"/>
      <c r="DF27" s="387"/>
      <c r="DG27" s="387"/>
      <c r="DH27" s="387"/>
      <c r="DI27" s="387"/>
      <c r="DJ27" s="387"/>
      <c r="DK27" s="387"/>
      <c r="DL27" s="387"/>
      <c r="DM27" s="387"/>
      <c r="DN27" s="387"/>
      <c r="DO27" s="387"/>
      <c r="DP27" s="387"/>
      <c r="DQ27" s="387"/>
      <c r="DR27" s="387"/>
      <c r="DS27" s="387"/>
      <c r="DT27" s="387"/>
      <c r="DU27" s="387"/>
      <c r="DV27" s="387"/>
      <c r="DW27" s="545">
        <f t="shared" si="15"/>
        <v>1464.049896</v>
      </c>
      <c r="DX27" s="858"/>
      <c r="DY27" s="706"/>
      <c r="DZ27" s="872"/>
      <c r="EA27" s="873"/>
      <c r="EB27" s="859"/>
      <c r="EC27" s="859"/>
      <c r="ED27" s="859"/>
      <c r="EE27" s="859"/>
      <c r="EF27" s="861"/>
      <c r="EG27" s="1107"/>
      <c r="EI27" s="858"/>
      <c r="EJ27" s="877"/>
      <c r="ER27" s="497"/>
    </row>
    <row r="28" spans="1:148" s="278" customFormat="1" ht="24" outlineLevel="2" x14ac:dyDescent="0.2">
      <c r="A28" s="892" t="s">
        <v>371</v>
      </c>
      <c r="B28" s="897" t="s">
        <v>161</v>
      </c>
      <c r="C28" s="902"/>
      <c r="D28" s="863">
        <f>+'Detalle Plan de Adquisiciones'!M9</f>
        <v>3299992963.1500001</v>
      </c>
      <c r="E28" s="866" t="s">
        <v>113</v>
      </c>
      <c r="F28" s="312" t="s">
        <v>410</v>
      </c>
      <c r="G28" s="354">
        <v>0</v>
      </c>
      <c r="H28" s="354">
        <v>0</v>
      </c>
      <c r="I28" s="354">
        <v>0</v>
      </c>
      <c r="J28" s="354">
        <v>0</v>
      </c>
      <c r="K28" s="354">
        <v>0</v>
      </c>
      <c r="L28" s="354">
        <v>0</v>
      </c>
      <c r="M28" s="354">
        <v>0</v>
      </c>
      <c r="N28" s="354">
        <v>0</v>
      </c>
      <c r="O28" s="354">
        <v>0</v>
      </c>
      <c r="P28" s="354">
        <v>0</v>
      </c>
      <c r="Q28" s="354">
        <v>0</v>
      </c>
      <c r="R28" s="354">
        <v>0</v>
      </c>
      <c r="S28" s="354">
        <v>0</v>
      </c>
      <c r="T28" s="354">
        <v>0</v>
      </c>
      <c r="U28" s="354">
        <v>0</v>
      </c>
      <c r="V28" s="354">
        <v>0</v>
      </c>
      <c r="W28" s="354">
        <v>0</v>
      </c>
      <c r="X28" s="354">
        <v>0</v>
      </c>
      <c r="Y28" s="354">
        <v>0</v>
      </c>
      <c r="Z28" s="354">
        <v>0</v>
      </c>
      <c r="AA28" s="354">
        <v>0</v>
      </c>
      <c r="AB28" s="354">
        <v>0</v>
      </c>
      <c r="AC28" s="354">
        <v>0</v>
      </c>
      <c r="AD28" s="354">
        <v>0</v>
      </c>
      <c r="AE28" s="354">
        <v>0</v>
      </c>
      <c r="AF28" s="354">
        <v>0</v>
      </c>
      <c r="AG28" s="354">
        <v>0</v>
      </c>
      <c r="AH28" s="354">
        <v>0</v>
      </c>
      <c r="AI28" s="354">
        <v>0</v>
      </c>
      <c r="AJ28" s="354">
        <v>0</v>
      </c>
      <c r="AK28" s="354">
        <v>0</v>
      </c>
      <c r="AL28" s="354">
        <v>0</v>
      </c>
      <c r="AM28" s="354">
        <v>0</v>
      </c>
      <c r="AN28" s="354">
        <v>0</v>
      </c>
      <c r="AO28" s="354">
        <v>0</v>
      </c>
      <c r="AP28" s="354">
        <v>0</v>
      </c>
      <c r="AQ28" s="354">
        <v>0</v>
      </c>
      <c r="AR28" s="354">
        <v>0</v>
      </c>
      <c r="AS28" s="354">
        <v>0</v>
      </c>
      <c r="AT28" s="354">
        <v>0</v>
      </c>
      <c r="AU28" s="354">
        <v>0</v>
      </c>
      <c r="AV28" s="354">
        <v>0</v>
      </c>
      <c r="AW28" s="354">
        <v>0</v>
      </c>
      <c r="AX28" s="354">
        <v>0</v>
      </c>
      <c r="AY28" s="386">
        <v>0</v>
      </c>
      <c r="AZ28" s="354">
        <v>0</v>
      </c>
      <c r="BA28" s="354">
        <v>0</v>
      </c>
      <c r="BB28" s="354">
        <v>0</v>
      </c>
      <c r="BC28" s="354">
        <v>0</v>
      </c>
      <c r="BD28" s="354">
        <v>0</v>
      </c>
      <c r="BE28" s="354">
        <v>0</v>
      </c>
      <c r="BF28" s="354">
        <v>0</v>
      </c>
      <c r="BG28" s="354">
        <v>0</v>
      </c>
      <c r="BH28" s="354">
        <v>0</v>
      </c>
      <c r="BI28" s="354">
        <v>0</v>
      </c>
      <c r="BJ28" s="354">
        <v>0</v>
      </c>
      <c r="BK28" s="354">
        <v>0</v>
      </c>
      <c r="BL28" s="354">
        <v>0</v>
      </c>
      <c r="BM28" s="354">
        <v>0</v>
      </c>
      <c r="BN28" s="354">
        <v>0</v>
      </c>
      <c r="BO28" s="354">
        <v>0</v>
      </c>
      <c r="BP28" s="354">
        <v>0</v>
      </c>
      <c r="BQ28" s="354">
        <v>0</v>
      </c>
      <c r="BR28" s="354">
        <v>0</v>
      </c>
      <c r="BS28" s="354">
        <v>0</v>
      </c>
      <c r="BT28" s="354">
        <v>0</v>
      </c>
      <c r="BU28" s="354">
        <v>0</v>
      </c>
      <c r="BV28" s="354">
        <v>0</v>
      </c>
      <c r="BW28" s="354">
        <v>0</v>
      </c>
      <c r="BX28" s="354">
        <v>0</v>
      </c>
      <c r="BY28" s="354">
        <v>0</v>
      </c>
      <c r="BZ28" s="354">
        <v>0</v>
      </c>
      <c r="CA28" s="354">
        <v>0</v>
      </c>
      <c r="CB28" s="354">
        <v>0</v>
      </c>
      <c r="CC28" s="354">
        <v>0</v>
      </c>
      <c r="CD28" s="354">
        <v>0</v>
      </c>
      <c r="CE28" s="354">
        <v>0</v>
      </c>
      <c r="CF28" s="354">
        <v>0</v>
      </c>
      <c r="CG28" s="354">
        <v>0</v>
      </c>
      <c r="CH28" s="354">
        <v>0</v>
      </c>
      <c r="CI28" s="354">
        <v>0</v>
      </c>
      <c r="CJ28" s="354">
        <v>0</v>
      </c>
      <c r="CK28" s="354">
        <v>0</v>
      </c>
      <c r="CL28" s="354">
        <v>0</v>
      </c>
      <c r="CM28" s="354"/>
      <c r="CN28" s="354"/>
      <c r="CO28" s="354"/>
      <c r="CP28" s="354"/>
      <c r="CQ28" s="354"/>
      <c r="CR28" s="354"/>
      <c r="CS28" s="354"/>
      <c r="CT28" s="354"/>
      <c r="CU28" s="354"/>
      <c r="CV28" s="354"/>
      <c r="CW28" s="354"/>
      <c r="CX28" s="354"/>
      <c r="CY28" s="354"/>
      <c r="CZ28" s="354"/>
      <c r="DA28" s="354"/>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543">
        <f>SUM(G28:DV28)</f>
        <v>0</v>
      </c>
      <c r="DX28" s="858">
        <f>DW28+DW29+DW30</f>
        <v>3299.9929631500004</v>
      </c>
      <c r="DY28" s="704">
        <f>+DX28*1000000</f>
        <v>3299992963.1500006</v>
      </c>
      <c r="DZ28" s="870">
        <f>+DY28-D28</f>
        <v>0</v>
      </c>
      <c r="EA28" s="873" t="str">
        <f>VLOOKUP(POA!$B28,'Detalle Plan de Adquisiciones'!$G$6:$AF$66,23,0)</f>
        <v>N/A</v>
      </c>
      <c r="EB28" s="859">
        <f>VLOOKUP(POA!$B28,'Detalle Plan de Adquisiciones'!$G$6:$AF$66,25,0)</f>
        <v>41050</v>
      </c>
      <c r="EC28" s="859">
        <f>EB28+30</f>
        <v>41080</v>
      </c>
      <c r="ED28" s="859" t="e">
        <f>CONCATENATE(MONTH(EA28),"-",YEAR(EA28))</f>
        <v>#VALUE!</v>
      </c>
      <c r="EE28" s="859" t="str">
        <f>CONCATENATE(MONTH(EB28),"-",YEAR(EB28))</f>
        <v>5-2012</v>
      </c>
      <c r="EF28" s="861" t="str">
        <f>CONCATENATE(MONTH(EC28),"-",YEAR(EC28))</f>
        <v>6-2012</v>
      </c>
      <c r="EG28" s="1105" t="e">
        <f>+YEAR(EA28)</f>
        <v>#VALUE!</v>
      </c>
      <c r="EH28" s="393">
        <f>+DY28</f>
        <v>3299992963.1500006</v>
      </c>
      <c r="EI28" s="858">
        <f>+DW28+DW29+DW30</f>
        <v>3299.9929631500004</v>
      </c>
      <c r="EJ28" s="877">
        <f>+D28/1000000-EI28</f>
        <v>0</v>
      </c>
      <c r="ER28" s="497"/>
    </row>
    <row r="29" spans="1:148" s="278" customFormat="1" outlineLevel="2" x14ac:dyDescent="0.2">
      <c r="A29" s="893"/>
      <c r="B29" s="886"/>
      <c r="C29" s="903"/>
      <c r="D29" s="864"/>
      <c r="E29" s="867"/>
      <c r="F29" s="311" t="s">
        <v>210</v>
      </c>
      <c r="G29" s="363">
        <v>0</v>
      </c>
      <c r="H29" s="363">
        <v>0</v>
      </c>
      <c r="I29" s="363">
        <v>0</v>
      </c>
      <c r="J29" s="363">
        <v>0</v>
      </c>
      <c r="K29" s="363">
        <v>0</v>
      </c>
      <c r="L29" s="363">
        <v>0</v>
      </c>
      <c r="M29" s="363">
        <v>0</v>
      </c>
      <c r="N29" s="363">
        <v>0</v>
      </c>
      <c r="O29" s="363">
        <v>0</v>
      </c>
      <c r="P29" s="363">
        <v>0</v>
      </c>
      <c r="Q29" s="363">
        <v>0</v>
      </c>
      <c r="R29" s="363">
        <v>0</v>
      </c>
      <c r="S29" s="363">
        <v>0</v>
      </c>
      <c r="T29" s="363">
        <v>0</v>
      </c>
      <c r="U29" s="363">
        <v>0</v>
      </c>
      <c r="V29" s="363">
        <v>0</v>
      </c>
      <c r="W29" s="363">
        <v>0</v>
      </c>
      <c r="X29" s="363">
        <v>0</v>
      </c>
      <c r="Y29" s="363">
        <v>0</v>
      </c>
      <c r="Z29" s="363">
        <v>0</v>
      </c>
      <c r="AA29" s="363">
        <v>0</v>
      </c>
      <c r="AB29" s="363">
        <v>0</v>
      </c>
      <c r="AC29" s="363"/>
      <c r="AD29" s="363"/>
      <c r="AE29" s="363"/>
      <c r="AF29" s="364">
        <v>0</v>
      </c>
      <c r="AG29" s="363">
        <v>0</v>
      </c>
      <c r="AH29" s="363">
        <v>0</v>
      </c>
      <c r="AI29" s="363">
        <v>0</v>
      </c>
      <c r="AJ29" s="363"/>
      <c r="AK29" s="363">
        <v>1107.5809814700001</v>
      </c>
      <c r="AL29" s="363">
        <v>0</v>
      </c>
      <c r="AM29" s="364">
        <v>0</v>
      </c>
      <c r="AN29" s="363">
        <v>0</v>
      </c>
      <c r="AO29" s="363">
        <v>0</v>
      </c>
      <c r="AP29" s="363">
        <v>0</v>
      </c>
      <c r="AQ29" s="363">
        <v>0</v>
      </c>
      <c r="AR29" s="363">
        <v>0</v>
      </c>
      <c r="AS29" s="363">
        <v>0</v>
      </c>
      <c r="AT29" s="363">
        <v>0</v>
      </c>
      <c r="AU29" s="363">
        <v>0</v>
      </c>
      <c r="AV29" s="363">
        <v>0</v>
      </c>
      <c r="AW29" s="363">
        <v>0</v>
      </c>
      <c r="AX29" s="363">
        <v>0</v>
      </c>
      <c r="AY29" s="363">
        <v>0</v>
      </c>
      <c r="AZ29" s="363">
        <v>0</v>
      </c>
      <c r="BA29" s="363">
        <v>0</v>
      </c>
      <c r="BB29" s="363">
        <v>0</v>
      </c>
      <c r="BC29" s="363">
        <v>0</v>
      </c>
      <c r="BD29" s="363">
        <v>0</v>
      </c>
      <c r="BE29" s="363">
        <v>0</v>
      </c>
      <c r="BF29" s="363">
        <v>0</v>
      </c>
      <c r="BG29" s="363">
        <v>0</v>
      </c>
      <c r="BH29" s="363">
        <v>0</v>
      </c>
      <c r="BI29" s="363">
        <v>0</v>
      </c>
      <c r="BJ29" s="363">
        <v>0</v>
      </c>
      <c r="BK29" s="363">
        <v>0</v>
      </c>
      <c r="BL29" s="363">
        <v>0</v>
      </c>
      <c r="BM29" s="363">
        <v>0</v>
      </c>
      <c r="BN29" s="363">
        <v>0</v>
      </c>
      <c r="BO29" s="363">
        <v>0</v>
      </c>
      <c r="BP29" s="363">
        <v>0</v>
      </c>
      <c r="BQ29" s="363">
        <v>0</v>
      </c>
      <c r="BR29" s="363">
        <v>0</v>
      </c>
      <c r="BS29" s="363">
        <v>0</v>
      </c>
      <c r="BT29" s="363">
        <v>0</v>
      </c>
      <c r="BU29" s="363">
        <v>0</v>
      </c>
      <c r="BV29" s="363">
        <v>0</v>
      </c>
      <c r="BW29" s="363">
        <v>0</v>
      </c>
      <c r="BX29" s="363">
        <v>0</v>
      </c>
      <c r="BY29" s="363">
        <v>0</v>
      </c>
      <c r="BZ29" s="363">
        <v>0</v>
      </c>
      <c r="CA29" s="363">
        <v>0</v>
      </c>
      <c r="CB29" s="363">
        <v>0</v>
      </c>
      <c r="CC29" s="363">
        <v>0</v>
      </c>
      <c r="CD29" s="363">
        <v>0</v>
      </c>
      <c r="CE29" s="363">
        <v>0</v>
      </c>
      <c r="CF29" s="363">
        <v>0</v>
      </c>
      <c r="CG29" s="363">
        <v>0</v>
      </c>
      <c r="CH29" s="363">
        <v>0</v>
      </c>
      <c r="CI29" s="363">
        <v>0</v>
      </c>
      <c r="CJ29" s="363">
        <v>0</v>
      </c>
      <c r="CK29" s="363">
        <v>0</v>
      </c>
      <c r="CL29" s="363">
        <v>0</v>
      </c>
      <c r="CM29" s="363"/>
      <c r="CN29" s="363"/>
      <c r="CO29" s="363"/>
      <c r="CP29" s="363"/>
      <c r="CQ29" s="363"/>
      <c r="CR29" s="363"/>
      <c r="CS29" s="363"/>
      <c r="CT29" s="363"/>
      <c r="CU29" s="363"/>
      <c r="CV29" s="363"/>
      <c r="CW29" s="363"/>
      <c r="CX29" s="363"/>
      <c r="CY29" s="363"/>
      <c r="CZ29" s="363"/>
      <c r="DA29" s="363"/>
      <c r="DB29" s="363"/>
      <c r="DC29" s="363"/>
      <c r="DD29" s="363"/>
      <c r="DE29" s="363"/>
      <c r="DF29" s="363"/>
      <c r="DG29" s="363"/>
      <c r="DH29" s="363"/>
      <c r="DI29" s="363"/>
      <c r="DJ29" s="363"/>
      <c r="DK29" s="363"/>
      <c r="DL29" s="363"/>
      <c r="DM29" s="363"/>
      <c r="DN29" s="363"/>
      <c r="DO29" s="363"/>
      <c r="DP29" s="363"/>
      <c r="DQ29" s="363"/>
      <c r="DR29" s="363"/>
      <c r="DS29" s="363"/>
      <c r="DT29" s="363"/>
      <c r="DU29" s="363"/>
      <c r="DV29" s="363"/>
      <c r="DW29" s="544">
        <f t="shared" si="15"/>
        <v>1107.5809814700001</v>
      </c>
      <c r="DX29" s="858"/>
      <c r="DY29" s="705"/>
      <c r="DZ29" s="871"/>
      <c r="EA29" s="873"/>
      <c r="EB29" s="859"/>
      <c r="EC29" s="859"/>
      <c r="ED29" s="859"/>
      <c r="EE29" s="859"/>
      <c r="EF29" s="861"/>
      <c r="EG29" s="1106"/>
      <c r="EI29" s="858"/>
      <c r="EJ29" s="877"/>
      <c r="EO29" s="419"/>
      <c r="ER29" s="497"/>
    </row>
    <row r="30" spans="1:148" s="278" customFormat="1" ht="15.75" customHeight="1" outlineLevel="2" thickBot="1" x14ac:dyDescent="0.25">
      <c r="A30" s="894"/>
      <c r="B30" s="887"/>
      <c r="C30" s="904"/>
      <c r="D30" s="865"/>
      <c r="E30" s="868"/>
      <c r="F30" s="315" t="s">
        <v>211</v>
      </c>
      <c r="G30" s="364">
        <v>0</v>
      </c>
      <c r="H30" s="364">
        <v>0</v>
      </c>
      <c r="I30" s="364">
        <v>0</v>
      </c>
      <c r="J30" s="364">
        <v>0</v>
      </c>
      <c r="K30" s="364">
        <v>0</v>
      </c>
      <c r="L30" s="364">
        <v>0</v>
      </c>
      <c r="M30" s="364">
        <v>0</v>
      </c>
      <c r="N30" s="364">
        <v>0</v>
      </c>
      <c r="O30" s="364">
        <v>0</v>
      </c>
      <c r="P30" s="364">
        <v>0</v>
      </c>
      <c r="Q30" s="364">
        <v>0</v>
      </c>
      <c r="R30" s="364">
        <v>0</v>
      </c>
      <c r="S30" s="364">
        <v>0</v>
      </c>
      <c r="T30" s="364">
        <v>0</v>
      </c>
      <c r="U30" s="364">
        <v>0</v>
      </c>
      <c r="V30" s="364">
        <v>0</v>
      </c>
      <c r="W30" s="364">
        <v>0</v>
      </c>
      <c r="X30" s="364">
        <v>0</v>
      </c>
      <c r="Y30" s="364">
        <v>0</v>
      </c>
      <c r="Z30" s="364">
        <v>0</v>
      </c>
      <c r="AA30" s="364">
        <v>0</v>
      </c>
      <c r="AB30" s="364">
        <v>0</v>
      </c>
      <c r="AC30" s="364">
        <v>0</v>
      </c>
      <c r="AD30" s="364">
        <v>0</v>
      </c>
      <c r="AE30" s="364">
        <v>0</v>
      </c>
      <c r="AF30" s="364">
        <v>989.99792014000002</v>
      </c>
      <c r="AG30" s="364">
        <v>0</v>
      </c>
      <c r="AH30" s="364">
        <v>0</v>
      </c>
      <c r="AI30" s="687">
        <v>535.89587079</v>
      </c>
      <c r="AJ30" s="364">
        <v>0</v>
      </c>
      <c r="AK30" s="364">
        <v>0</v>
      </c>
      <c r="AL30" s="364">
        <v>0</v>
      </c>
      <c r="AM30" s="364">
        <v>666.51819075000003</v>
      </c>
      <c r="AN30" s="364">
        <v>0</v>
      </c>
      <c r="AO30" s="364">
        <v>0</v>
      </c>
      <c r="AP30" s="364">
        <v>0</v>
      </c>
      <c r="AQ30" s="364">
        <v>0</v>
      </c>
      <c r="AR30" s="364">
        <v>0</v>
      </c>
      <c r="AS30" s="364">
        <v>0</v>
      </c>
      <c r="AT30" s="364">
        <v>0</v>
      </c>
      <c r="AU30" s="364">
        <v>0</v>
      </c>
      <c r="AV30" s="364">
        <v>0</v>
      </c>
      <c r="AW30" s="364">
        <v>0</v>
      </c>
      <c r="AX30" s="364">
        <v>0</v>
      </c>
      <c r="AY30" s="364">
        <v>0</v>
      </c>
      <c r="AZ30" s="364">
        <v>0</v>
      </c>
      <c r="BA30" s="364">
        <v>0</v>
      </c>
      <c r="BB30" s="364">
        <v>0</v>
      </c>
      <c r="BC30" s="364">
        <v>0</v>
      </c>
      <c r="BD30" s="364">
        <v>0</v>
      </c>
      <c r="BE30" s="364">
        <v>0</v>
      </c>
      <c r="BF30" s="364">
        <v>0</v>
      </c>
      <c r="BG30" s="364">
        <v>0</v>
      </c>
      <c r="BH30" s="364">
        <v>0</v>
      </c>
      <c r="BI30" s="364">
        <v>0</v>
      </c>
      <c r="BJ30" s="364">
        <v>0</v>
      </c>
      <c r="BK30" s="364">
        <v>0</v>
      </c>
      <c r="BL30" s="364">
        <v>0</v>
      </c>
      <c r="BM30" s="364">
        <v>0</v>
      </c>
      <c r="BN30" s="364">
        <v>0</v>
      </c>
      <c r="BO30" s="364">
        <v>0</v>
      </c>
      <c r="BP30" s="364">
        <v>0</v>
      </c>
      <c r="BQ30" s="364">
        <v>0</v>
      </c>
      <c r="BR30" s="364">
        <v>0</v>
      </c>
      <c r="BS30" s="364">
        <v>0</v>
      </c>
      <c r="BT30" s="364">
        <v>0</v>
      </c>
      <c r="BU30" s="364">
        <v>0</v>
      </c>
      <c r="BV30" s="364">
        <v>0</v>
      </c>
      <c r="BW30" s="364">
        <v>0</v>
      </c>
      <c r="BX30" s="364">
        <v>0</v>
      </c>
      <c r="BY30" s="364">
        <v>0</v>
      </c>
      <c r="BZ30" s="364">
        <v>0</v>
      </c>
      <c r="CA30" s="364">
        <v>0</v>
      </c>
      <c r="CB30" s="364">
        <v>0</v>
      </c>
      <c r="CC30" s="364">
        <v>0</v>
      </c>
      <c r="CD30" s="364">
        <v>0</v>
      </c>
      <c r="CE30" s="364">
        <v>0</v>
      </c>
      <c r="CF30" s="364">
        <v>0</v>
      </c>
      <c r="CG30" s="364">
        <v>0</v>
      </c>
      <c r="CH30" s="364">
        <v>0</v>
      </c>
      <c r="CI30" s="364">
        <v>0</v>
      </c>
      <c r="CJ30" s="364">
        <v>0</v>
      </c>
      <c r="CK30" s="364">
        <v>0</v>
      </c>
      <c r="CL30" s="364">
        <v>0</v>
      </c>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649">
        <f t="shared" si="15"/>
        <v>2192.4119816800003</v>
      </c>
      <c r="DX30" s="858"/>
      <c r="DY30" s="706"/>
      <c r="DZ30" s="872"/>
      <c r="EA30" s="873"/>
      <c r="EB30" s="859"/>
      <c r="EC30" s="859"/>
      <c r="ED30" s="859"/>
      <c r="EE30" s="859"/>
      <c r="EF30" s="861"/>
      <c r="EG30" s="1107"/>
      <c r="EI30" s="858"/>
      <c r="EJ30" s="877"/>
      <c r="ER30" s="497"/>
    </row>
    <row r="31" spans="1:148" s="278" customFormat="1" ht="24" outlineLevel="2" x14ac:dyDescent="0.2">
      <c r="A31" s="892" t="s">
        <v>372</v>
      </c>
      <c r="B31" s="897" t="s">
        <v>162</v>
      </c>
      <c r="C31" s="902"/>
      <c r="D31" s="863">
        <f>+'Detalle Plan de Adquisiciones'!M10</f>
        <v>6739982986</v>
      </c>
      <c r="E31" s="866" t="s">
        <v>114</v>
      </c>
      <c r="F31" s="312" t="s">
        <v>410</v>
      </c>
      <c r="G31" s="354">
        <v>0</v>
      </c>
      <c r="H31" s="354">
        <v>0</v>
      </c>
      <c r="I31" s="354">
        <v>0</v>
      </c>
      <c r="J31" s="354">
        <v>0</v>
      </c>
      <c r="K31" s="354">
        <v>0</v>
      </c>
      <c r="L31" s="354">
        <v>0</v>
      </c>
      <c r="M31" s="354">
        <v>0</v>
      </c>
      <c r="N31" s="354">
        <v>0</v>
      </c>
      <c r="O31" s="354">
        <v>0</v>
      </c>
      <c r="P31" s="354">
        <v>0</v>
      </c>
      <c r="Q31" s="354">
        <v>0</v>
      </c>
      <c r="R31" s="354">
        <v>0</v>
      </c>
      <c r="S31" s="354">
        <v>0</v>
      </c>
      <c r="T31" s="354">
        <v>0</v>
      </c>
      <c r="U31" s="354">
        <v>0</v>
      </c>
      <c r="V31" s="354">
        <v>0</v>
      </c>
      <c r="W31" s="354">
        <v>0</v>
      </c>
      <c r="X31" s="354">
        <v>0</v>
      </c>
      <c r="Y31" s="354">
        <v>0</v>
      </c>
      <c r="Z31" s="354">
        <v>0</v>
      </c>
      <c r="AA31" s="354">
        <v>0</v>
      </c>
      <c r="AB31" s="354">
        <v>0</v>
      </c>
      <c r="AC31" s="354">
        <v>0</v>
      </c>
      <c r="AD31" s="354">
        <v>0</v>
      </c>
      <c r="AE31" s="354">
        <v>0</v>
      </c>
      <c r="AF31" s="354">
        <v>0</v>
      </c>
      <c r="AG31" s="354">
        <v>0</v>
      </c>
      <c r="AH31" s="354">
        <v>0</v>
      </c>
      <c r="AI31" s="354">
        <v>0</v>
      </c>
      <c r="AJ31" s="354">
        <v>0</v>
      </c>
      <c r="AK31" s="354">
        <v>0</v>
      </c>
      <c r="AL31" s="354">
        <v>0</v>
      </c>
      <c r="AM31" s="354">
        <v>0</v>
      </c>
      <c r="AN31" s="354">
        <v>0</v>
      </c>
      <c r="AO31" s="354">
        <v>0</v>
      </c>
      <c r="AP31" s="354">
        <v>0</v>
      </c>
      <c r="AQ31" s="354">
        <v>0</v>
      </c>
      <c r="AR31" s="354">
        <v>0</v>
      </c>
      <c r="AS31" s="354">
        <v>0</v>
      </c>
      <c r="AT31" s="354">
        <v>0</v>
      </c>
      <c r="AU31" s="354">
        <v>0</v>
      </c>
      <c r="AV31" s="354">
        <v>0</v>
      </c>
      <c r="AW31" s="354">
        <v>0</v>
      </c>
      <c r="AX31" s="354">
        <v>0</v>
      </c>
      <c r="AY31" s="354">
        <v>0</v>
      </c>
      <c r="AZ31" s="354">
        <v>0</v>
      </c>
      <c r="BA31" s="354">
        <v>0</v>
      </c>
      <c r="BB31" s="354">
        <v>0</v>
      </c>
      <c r="BC31" s="354">
        <v>0</v>
      </c>
      <c r="BD31" s="354">
        <v>0</v>
      </c>
      <c r="BE31" s="354">
        <v>0</v>
      </c>
      <c r="BF31" s="354">
        <v>0</v>
      </c>
      <c r="BG31" s="354">
        <v>0</v>
      </c>
      <c r="BH31" s="354">
        <v>0</v>
      </c>
      <c r="BI31" s="354">
        <v>0</v>
      </c>
      <c r="BJ31" s="354">
        <v>0</v>
      </c>
      <c r="BK31" s="354">
        <v>0</v>
      </c>
      <c r="BL31" s="354">
        <v>0</v>
      </c>
      <c r="BM31" s="354">
        <v>0</v>
      </c>
      <c r="BN31" s="354">
        <v>0</v>
      </c>
      <c r="BO31" s="354">
        <v>0</v>
      </c>
      <c r="BP31" s="354">
        <v>0</v>
      </c>
      <c r="BQ31" s="354">
        <v>0</v>
      </c>
      <c r="BR31" s="354">
        <v>0</v>
      </c>
      <c r="BS31" s="354">
        <v>0</v>
      </c>
      <c r="BT31" s="354">
        <v>0</v>
      </c>
      <c r="BU31" s="354">
        <v>0</v>
      </c>
      <c r="BV31" s="354">
        <v>0</v>
      </c>
      <c r="BW31" s="354">
        <v>0</v>
      </c>
      <c r="BX31" s="354">
        <v>0</v>
      </c>
      <c r="BY31" s="354">
        <v>0</v>
      </c>
      <c r="BZ31" s="354">
        <v>0</v>
      </c>
      <c r="CA31" s="354">
        <v>0</v>
      </c>
      <c r="CB31" s="354">
        <v>0</v>
      </c>
      <c r="CC31" s="354">
        <v>0</v>
      </c>
      <c r="CD31" s="354">
        <v>0</v>
      </c>
      <c r="CE31" s="354">
        <v>0</v>
      </c>
      <c r="CF31" s="354">
        <v>0</v>
      </c>
      <c r="CG31" s="354">
        <v>0</v>
      </c>
      <c r="CH31" s="354">
        <v>0</v>
      </c>
      <c r="CI31" s="354">
        <v>0</v>
      </c>
      <c r="CJ31" s="354">
        <v>0</v>
      </c>
      <c r="CK31" s="354">
        <v>0</v>
      </c>
      <c r="CL31" s="354">
        <v>0</v>
      </c>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354"/>
      <c r="DI31" s="354"/>
      <c r="DJ31" s="354"/>
      <c r="DK31" s="354"/>
      <c r="DL31" s="354"/>
      <c r="DM31" s="354"/>
      <c r="DN31" s="354"/>
      <c r="DO31" s="354"/>
      <c r="DP31" s="354"/>
      <c r="DQ31" s="354"/>
      <c r="DR31" s="354"/>
      <c r="DS31" s="354"/>
      <c r="DT31" s="354"/>
      <c r="DU31" s="354"/>
      <c r="DV31" s="354"/>
      <c r="DW31" s="543">
        <f>SUM(G31:DV31)</f>
        <v>0</v>
      </c>
      <c r="DX31" s="858">
        <f>DW31+DW32+DW33</f>
        <v>6739.9829824799999</v>
      </c>
      <c r="DY31" s="704">
        <f>+DX31*1000000</f>
        <v>6739982982.4799995</v>
      </c>
      <c r="DZ31" s="870">
        <f>+DY31-D31</f>
        <v>-3.5200004577636719</v>
      </c>
      <c r="EA31" s="873" t="str">
        <f>VLOOKUP(POA!$B31,'Detalle Plan de Adquisiciones'!$G$6:$AF$66,23,0)</f>
        <v>N/A</v>
      </c>
      <c r="EB31" s="859">
        <f>VLOOKUP(POA!$B31,'Detalle Plan de Adquisiciones'!$G$6:$AF$66,25,0)</f>
        <v>41283</v>
      </c>
      <c r="EC31" s="859">
        <f>EB31+30</f>
        <v>41313</v>
      </c>
      <c r="ED31" s="859" t="e">
        <f>CONCATENATE(MONTH(EA31),"-",YEAR(EA31))</f>
        <v>#VALUE!</v>
      </c>
      <c r="EE31" s="859" t="str">
        <f>CONCATENATE(MONTH(EB31),"-",YEAR(EB31))</f>
        <v>1-2013</v>
      </c>
      <c r="EF31" s="861" t="str">
        <f>CONCATENATE(MONTH(EC31),"-",YEAR(EC31))</f>
        <v>2-2013</v>
      </c>
      <c r="EG31" s="1105" t="e">
        <f>+YEAR(EA31)</f>
        <v>#VALUE!</v>
      </c>
      <c r="EH31" s="393">
        <f>+DY31</f>
        <v>6739982982.4799995</v>
      </c>
      <c r="EI31" s="858">
        <f>+DW31+DW32+DW33</f>
        <v>6739.9829824799999</v>
      </c>
      <c r="EJ31" s="877">
        <f>+D31/1000000-EI31</f>
        <v>3.5200000638724305E-6</v>
      </c>
      <c r="ER31" s="497"/>
    </row>
    <row r="32" spans="1:148" s="278" customFormat="1" outlineLevel="2" x14ac:dyDescent="0.2">
      <c r="A32" s="893"/>
      <c r="B32" s="886"/>
      <c r="C32" s="903"/>
      <c r="D32" s="864"/>
      <c r="E32" s="867"/>
      <c r="F32" s="311" t="s">
        <v>210</v>
      </c>
      <c r="G32" s="363">
        <v>0</v>
      </c>
      <c r="H32" s="363">
        <v>0</v>
      </c>
      <c r="I32" s="363">
        <v>0</v>
      </c>
      <c r="J32" s="363">
        <v>0</v>
      </c>
      <c r="K32" s="363">
        <v>0</v>
      </c>
      <c r="L32" s="363">
        <v>0</v>
      </c>
      <c r="M32" s="363">
        <v>0</v>
      </c>
      <c r="N32" s="363">
        <v>0</v>
      </c>
      <c r="O32" s="363">
        <v>0</v>
      </c>
      <c r="P32" s="363">
        <v>0</v>
      </c>
      <c r="Q32" s="363">
        <v>0</v>
      </c>
      <c r="R32" s="363">
        <v>0</v>
      </c>
      <c r="S32" s="363">
        <v>0</v>
      </c>
      <c r="T32" s="363">
        <v>0</v>
      </c>
      <c r="U32" s="363">
        <v>0</v>
      </c>
      <c r="V32" s="363">
        <v>0</v>
      </c>
      <c r="W32" s="363">
        <v>0</v>
      </c>
      <c r="X32" s="363">
        <v>0</v>
      </c>
      <c r="Y32" s="363">
        <v>0</v>
      </c>
      <c r="Z32" s="437">
        <v>0</v>
      </c>
      <c r="AA32" s="437">
        <v>0</v>
      </c>
      <c r="AB32" s="437">
        <v>0</v>
      </c>
      <c r="AC32" s="363">
        <v>0</v>
      </c>
      <c r="AD32" s="363">
        <v>0</v>
      </c>
      <c r="AE32" s="363">
        <v>0</v>
      </c>
      <c r="AF32" s="364">
        <v>180.45163201</v>
      </c>
      <c r="AG32" s="364">
        <v>184.80275488000001</v>
      </c>
      <c r="AH32" s="363">
        <v>0</v>
      </c>
      <c r="AI32" s="363">
        <v>311.69394375000002</v>
      </c>
      <c r="AJ32" s="363">
        <v>0</v>
      </c>
      <c r="AK32" s="363">
        <v>238.36457467</v>
      </c>
      <c r="AL32" s="363">
        <v>0</v>
      </c>
      <c r="AM32" s="364">
        <v>554.78040599999997</v>
      </c>
      <c r="AN32" s="364">
        <v>770.37001699999996</v>
      </c>
      <c r="AO32" s="364">
        <v>984.31428600000004</v>
      </c>
      <c r="AP32" s="364">
        <v>689.073352</v>
      </c>
      <c r="AQ32" s="363">
        <v>0</v>
      </c>
      <c r="AR32" s="363">
        <v>0</v>
      </c>
      <c r="AS32" s="363">
        <v>0</v>
      </c>
      <c r="AT32" s="363">
        <v>0</v>
      </c>
      <c r="AU32" s="363">
        <v>0</v>
      </c>
      <c r="AV32" s="363">
        <v>0</v>
      </c>
      <c r="AW32" s="363">
        <v>0</v>
      </c>
      <c r="AX32" s="363">
        <v>501.83473500000002</v>
      </c>
      <c r="AY32" s="363">
        <v>0</v>
      </c>
      <c r="AZ32" s="363">
        <v>0</v>
      </c>
      <c r="BA32" s="363">
        <v>0</v>
      </c>
      <c r="BB32" s="363">
        <v>50</v>
      </c>
      <c r="BC32" s="363">
        <v>0</v>
      </c>
      <c r="BD32" s="363">
        <v>0</v>
      </c>
      <c r="BE32" s="363">
        <v>0</v>
      </c>
      <c r="BF32" s="363">
        <v>0</v>
      </c>
      <c r="BG32" s="363">
        <v>0</v>
      </c>
      <c r="BH32" s="363">
        <v>0</v>
      </c>
      <c r="BI32" s="363">
        <v>0</v>
      </c>
      <c r="BJ32" s="363">
        <v>0</v>
      </c>
      <c r="BK32" s="363">
        <v>0</v>
      </c>
      <c r="BL32" s="363">
        <v>0</v>
      </c>
      <c r="BM32" s="363">
        <v>0</v>
      </c>
      <c r="BN32" s="363">
        <v>0</v>
      </c>
      <c r="BO32" s="363">
        <v>0</v>
      </c>
      <c r="BP32" s="363">
        <v>0</v>
      </c>
      <c r="BQ32" s="363">
        <v>0</v>
      </c>
      <c r="BR32" s="363">
        <v>0</v>
      </c>
      <c r="BS32" s="363">
        <v>0</v>
      </c>
      <c r="BT32" s="363">
        <v>0</v>
      </c>
      <c r="BU32" s="363">
        <v>0</v>
      </c>
      <c r="BV32" s="363">
        <v>0</v>
      </c>
      <c r="BW32" s="363">
        <v>0</v>
      </c>
      <c r="BX32" s="363">
        <v>0</v>
      </c>
      <c r="BY32" s="363">
        <v>0</v>
      </c>
      <c r="BZ32" s="363">
        <v>0</v>
      </c>
      <c r="CA32" s="363">
        <v>0</v>
      </c>
      <c r="CB32" s="363">
        <v>0</v>
      </c>
      <c r="CC32" s="363">
        <v>0</v>
      </c>
      <c r="CD32" s="363">
        <v>0</v>
      </c>
      <c r="CE32" s="363">
        <v>0</v>
      </c>
      <c r="CF32" s="363">
        <v>0</v>
      </c>
      <c r="CG32" s="363">
        <v>0</v>
      </c>
      <c r="CH32" s="363">
        <v>0</v>
      </c>
      <c r="CI32" s="363">
        <v>0</v>
      </c>
      <c r="CJ32" s="363">
        <v>0</v>
      </c>
      <c r="CK32" s="363">
        <v>0</v>
      </c>
      <c r="CL32" s="363">
        <v>0</v>
      </c>
      <c r="CM32" s="363"/>
      <c r="CN32" s="363"/>
      <c r="CO32" s="363"/>
      <c r="CP32" s="363"/>
      <c r="CQ32" s="363"/>
      <c r="CR32" s="363"/>
      <c r="CS32" s="363"/>
      <c r="CT32" s="363"/>
      <c r="CU32" s="363"/>
      <c r="CV32" s="363"/>
      <c r="CW32" s="363"/>
      <c r="CX32" s="363"/>
      <c r="CY32" s="363"/>
      <c r="CZ32" s="363"/>
      <c r="DA32" s="363"/>
      <c r="DB32" s="363"/>
      <c r="DC32" s="363"/>
      <c r="DD32" s="363"/>
      <c r="DE32" s="363"/>
      <c r="DF32" s="363"/>
      <c r="DG32" s="363"/>
      <c r="DH32" s="363"/>
      <c r="DI32" s="363"/>
      <c r="DJ32" s="363"/>
      <c r="DK32" s="363"/>
      <c r="DL32" s="363"/>
      <c r="DM32" s="363"/>
      <c r="DN32" s="363"/>
      <c r="DO32" s="363"/>
      <c r="DP32" s="363"/>
      <c r="DQ32" s="363"/>
      <c r="DR32" s="363"/>
      <c r="DS32" s="363"/>
      <c r="DT32" s="363"/>
      <c r="DU32" s="363"/>
      <c r="DV32" s="363"/>
      <c r="DW32" s="544">
        <f t="shared" si="15"/>
        <v>4465.6857013099998</v>
      </c>
      <c r="DX32" s="858"/>
      <c r="DY32" s="705"/>
      <c r="DZ32" s="871"/>
      <c r="EA32" s="873"/>
      <c r="EB32" s="859"/>
      <c r="EC32" s="859"/>
      <c r="ED32" s="859"/>
      <c r="EE32" s="859"/>
      <c r="EF32" s="861"/>
      <c r="EG32" s="1106"/>
      <c r="EI32" s="858"/>
      <c r="EJ32" s="877"/>
      <c r="ER32" s="497"/>
    </row>
    <row r="33" spans="1:148" s="278" customFormat="1" ht="30" customHeight="1" outlineLevel="2" thickBot="1" x14ac:dyDescent="0.25">
      <c r="A33" s="894"/>
      <c r="B33" s="887"/>
      <c r="C33" s="904"/>
      <c r="D33" s="865"/>
      <c r="E33" s="868"/>
      <c r="F33" s="315" t="s">
        <v>211</v>
      </c>
      <c r="G33" s="364">
        <v>0</v>
      </c>
      <c r="H33" s="364">
        <v>0</v>
      </c>
      <c r="I33" s="364">
        <v>0</v>
      </c>
      <c r="J33" s="364">
        <v>0</v>
      </c>
      <c r="K33" s="364">
        <v>0</v>
      </c>
      <c r="L33" s="364">
        <v>0</v>
      </c>
      <c r="M33" s="364">
        <v>0</v>
      </c>
      <c r="N33" s="364">
        <v>0</v>
      </c>
      <c r="O33" s="364">
        <v>0</v>
      </c>
      <c r="P33" s="364">
        <v>0</v>
      </c>
      <c r="Q33" s="364">
        <v>0</v>
      </c>
      <c r="R33" s="364">
        <v>0</v>
      </c>
      <c r="S33" s="364">
        <v>0</v>
      </c>
      <c r="T33" s="364">
        <v>0</v>
      </c>
      <c r="U33" s="364">
        <v>0</v>
      </c>
      <c r="V33" s="364">
        <v>0</v>
      </c>
      <c r="W33" s="364">
        <v>0</v>
      </c>
      <c r="X33" s="364">
        <v>0</v>
      </c>
      <c r="Y33" s="364">
        <v>0</v>
      </c>
      <c r="Z33" s="364">
        <v>0</v>
      </c>
      <c r="AA33" s="364">
        <v>0</v>
      </c>
      <c r="AB33" s="364">
        <v>0</v>
      </c>
      <c r="AC33" s="364">
        <v>1347.9965970000001</v>
      </c>
      <c r="AD33" s="364">
        <v>0</v>
      </c>
      <c r="AE33" s="364">
        <v>0</v>
      </c>
      <c r="AF33" s="364">
        <v>0</v>
      </c>
      <c r="AG33" s="364">
        <v>0</v>
      </c>
      <c r="AH33" s="364">
        <v>183.30447645000001</v>
      </c>
      <c r="AI33" s="364">
        <v>0</v>
      </c>
      <c r="AJ33" s="364">
        <v>0</v>
      </c>
      <c r="AK33" s="364">
        <v>0</v>
      </c>
      <c r="AL33" s="364">
        <v>742.99620772000003</v>
      </c>
      <c r="AM33" s="364">
        <v>0</v>
      </c>
      <c r="AN33" s="364">
        <v>0</v>
      </c>
      <c r="AO33" s="364">
        <v>0</v>
      </c>
      <c r="AP33" s="364">
        <v>0</v>
      </c>
      <c r="AQ33" s="364">
        <v>0</v>
      </c>
      <c r="AR33" s="364">
        <v>0</v>
      </c>
      <c r="AS33" s="364">
        <v>0</v>
      </c>
      <c r="AT33" s="364">
        <v>0</v>
      </c>
      <c r="AU33" s="364">
        <v>0</v>
      </c>
      <c r="AV33" s="364">
        <v>0</v>
      </c>
      <c r="AW33" s="364">
        <v>0</v>
      </c>
      <c r="AX33" s="364">
        <v>0</v>
      </c>
      <c r="AY33" s="364">
        <v>0</v>
      </c>
      <c r="AZ33" s="364">
        <v>0</v>
      </c>
      <c r="BA33" s="364">
        <v>0</v>
      </c>
      <c r="BB33" s="364">
        <v>0</v>
      </c>
      <c r="BC33" s="364">
        <v>0</v>
      </c>
      <c r="BD33" s="364">
        <v>0</v>
      </c>
      <c r="BE33" s="364">
        <v>0</v>
      </c>
      <c r="BF33" s="364">
        <v>0</v>
      </c>
      <c r="BG33" s="364">
        <v>0</v>
      </c>
      <c r="BH33" s="364">
        <v>0</v>
      </c>
      <c r="BI33" s="364">
        <v>0</v>
      </c>
      <c r="BJ33" s="364">
        <v>0</v>
      </c>
      <c r="BK33" s="364">
        <v>0</v>
      </c>
      <c r="BL33" s="364">
        <v>0</v>
      </c>
      <c r="BM33" s="364">
        <v>0</v>
      </c>
      <c r="BN33" s="364">
        <v>0</v>
      </c>
      <c r="BO33" s="364">
        <v>0</v>
      </c>
      <c r="BP33" s="364">
        <v>0</v>
      </c>
      <c r="BQ33" s="364">
        <v>0</v>
      </c>
      <c r="BR33" s="364">
        <v>0</v>
      </c>
      <c r="BS33" s="364">
        <v>0</v>
      </c>
      <c r="BT33" s="364">
        <v>0</v>
      </c>
      <c r="BU33" s="364">
        <v>0</v>
      </c>
      <c r="BV33" s="364">
        <v>0</v>
      </c>
      <c r="BW33" s="364">
        <v>0</v>
      </c>
      <c r="BX33" s="364">
        <v>0</v>
      </c>
      <c r="BY33" s="364">
        <v>0</v>
      </c>
      <c r="BZ33" s="364">
        <v>0</v>
      </c>
      <c r="CA33" s="364">
        <v>0</v>
      </c>
      <c r="CB33" s="364">
        <v>0</v>
      </c>
      <c r="CC33" s="364">
        <v>0</v>
      </c>
      <c r="CD33" s="364">
        <v>0</v>
      </c>
      <c r="CE33" s="364">
        <v>0</v>
      </c>
      <c r="CF33" s="364">
        <v>0</v>
      </c>
      <c r="CG33" s="364">
        <v>0</v>
      </c>
      <c r="CH33" s="364">
        <v>0</v>
      </c>
      <c r="CI33" s="364">
        <v>0</v>
      </c>
      <c r="CJ33" s="364">
        <v>0</v>
      </c>
      <c r="CK33" s="364">
        <v>0</v>
      </c>
      <c r="CL33" s="364">
        <v>0</v>
      </c>
      <c r="CM33" s="364"/>
      <c r="CN33" s="364"/>
      <c r="CO33" s="364"/>
      <c r="CP33" s="364"/>
      <c r="CQ33" s="364"/>
      <c r="CR33" s="364"/>
      <c r="CS33" s="364"/>
      <c r="CT33" s="364"/>
      <c r="CU33" s="364"/>
      <c r="CV33" s="364"/>
      <c r="CW33" s="364"/>
      <c r="CX33" s="364"/>
      <c r="CY33" s="364"/>
      <c r="CZ33" s="364"/>
      <c r="DA33" s="364"/>
      <c r="DB33" s="364"/>
      <c r="DC33" s="364"/>
      <c r="DD33" s="364"/>
      <c r="DE33" s="364"/>
      <c r="DF33" s="364"/>
      <c r="DG33" s="364"/>
      <c r="DH33" s="364"/>
      <c r="DI33" s="364"/>
      <c r="DJ33" s="364"/>
      <c r="DK33" s="364"/>
      <c r="DL33" s="364"/>
      <c r="DM33" s="364"/>
      <c r="DN33" s="364"/>
      <c r="DO33" s="364"/>
      <c r="DP33" s="364"/>
      <c r="DQ33" s="364"/>
      <c r="DR33" s="364"/>
      <c r="DS33" s="364"/>
      <c r="DT33" s="364"/>
      <c r="DU33" s="364"/>
      <c r="DV33" s="364"/>
      <c r="DW33" s="649">
        <f t="shared" si="15"/>
        <v>2274.2972811700001</v>
      </c>
      <c r="DX33" s="858"/>
      <c r="DY33" s="706"/>
      <c r="DZ33" s="872"/>
      <c r="EA33" s="873"/>
      <c r="EB33" s="859"/>
      <c r="EC33" s="859"/>
      <c r="ED33" s="859"/>
      <c r="EE33" s="859"/>
      <c r="EF33" s="861"/>
      <c r="EG33" s="1107"/>
      <c r="EI33" s="858"/>
      <c r="EJ33" s="877"/>
      <c r="ER33" s="497"/>
    </row>
    <row r="34" spans="1:148" s="278" customFormat="1" ht="24" outlineLevel="2" x14ac:dyDescent="0.2">
      <c r="A34" s="892" t="s">
        <v>364</v>
      </c>
      <c r="B34" s="897" t="s">
        <v>163</v>
      </c>
      <c r="C34" s="902">
        <v>14</v>
      </c>
      <c r="D34" s="863">
        <f>+'Detalle Plan de Adquisiciones'!M11</f>
        <v>14332883500.4</v>
      </c>
      <c r="E34" s="866" t="s">
        <v>345</v>
      </c>
      <c r="F34" s="312" t="s">
        <v>410</v>
      </c>
      <c r="G34" s="354">
        <v>0</v>
      </c>
      <c r="H34" s="354">
        <v>0</v>
      </c>
      <c r="I34" s="354">
        <v>0</v>
      </c>
      <c r="J34" s="354">
        <v>0</v>
      </c>
      <c r="K34" s="354">
        <v>0</v>
      </c>
      <c r="L34" s="354">
        <v>0</v>
      </c>
      <c r="M34" s="354">
        <v>0</v>
      </c>
      <c r="N34" s="354">
        <v>0</v>
      </c>
      <c r="O34" s="354">
        <v>0</v>
      </c>
      <c r="P34" s="354">
        <v>0</v>
      </c>
      <c r="Q34" s="354">
        <v>0</v>
      </c>
      <c r="R34" s="354">
        <v>0</v>
      </c>
      <c r="S34" s="354">
        <v>0</v>
      </c>
      <c r="T34" s="354">
        <v>0</v>
      </c>
      <c r="U34" s="354">
        <v>0</v>
      </c>
      <c r="V34" s="354">
        <v>0</v>
      </c>
      <c r="W34" s="354">
        <v>0</v>
      </c>
      <c r="X34" s="354">
        <v>0</v>
      </c>
      <c r="Y34" s="354">
        <v>0</v>
      </c>
      <c r="Z34" s="354">
        <v>0</v>
      </c>
      <c r="AA34" s="354">
        <v>0</v>
      </c>
      <c r="AB34" s="354">
        <v>0</v>
      </c>
      <c r="AC34" s="354">
        <v>0</v>
      </c>
      <c r="AD34" s="354">
        <v>0</v>
      </c>
      <c r="AE34" s="354">
        <v>0</v>
      </c>
      <c r="AF34" s="354">
        <v>0</v>
      </c>
      <c r="AG34" s="354">
        <v>0</v>
      </c>
      <c r="AH34" s="354">
        <v>0</v>
      </c>
      <c r="AI34" s="354">
        <v>0</v>
      </c>
      <c r="AJ34" s="354">
        <v>0</v>
      </c>
      <c r="AK34" s="354">
        <v>0</v>
      </c>
      <c r="AL34" s="354">
        <v>0</v>
      </c>
      <c r="AM34" s="354">
        <v>0</v>
      </c>
      <c r="AN34" s="354">
        <v>0</v>
      </c>
      <c r="AO34" s="354">
        <v>0</v>
      </c>
      <c r="AP34" s="354">
        <v>0</v>
      </c>
      <c r="AQ34" s="354">
        <v>0</v>
      </c>
      <c r="AR34" s="354">
        <v>0</v>
      </c>
      <c r="AS34" s="354">
        <v>0</v>
      </c>
      <c r="AT34" s="354">
        <v>0</v>
      </c>
      <c r="AU34" s="354">
        <v>0</v>
      </c>
      <c r="AV34" s="354">
        <v>0</v>
      </c>
      <c r="AW34" s="354">
        <v>0</v>
      </c>
      <c r="AX34" s="354">
        <v>0</v>
      </c>
      <c r="AY34" s="354"/>
      <c r="AZ34" s="354">
        <v>0</v>
      </c>
      <c r="BA34" s="354">
        <v>0</v>
      </c>
      <c r="BB34" s="354">
        <v>0</v>
      </c>
      <c r="BC34" s="354">
        <v>0</v>
      </c>
      <c r="BD34" s="354">
        <v>0</v>
      </c>
      <c r="BE34" s="354">
        <v>0</v>
      </c>
      <c r="BF34" s="354">
        <v>0</v>
      </c>
      <c r="BG34" s="354">
        <v>0</v>
      </c>
      <c r="BH34" s="354">
        <v>0</v>
      </c>
      <c r="BI34" s="354">
        <v>0</v>
      </c>
      <c r="BJ34" s="354">
        <v>0</v>
      </c>
      <c r="BK34" s="354">
        <v>0</v>
      </c>
      <c r="BL34" s="354">
        <v>0</v>
      </c>
      <c r="BM34" s="354">
        <v>0</v>
      </c>
      <c r="BN34" s="354">
        <v>0</v>
      </c>
      <c r="BO34" s="354">
        <v>0</v>
      </c>
      <c r="BP34" s="354">
        <v>0</v>
      </c>
      <c r="BQ34" s="354">
        <v>0</v>
      </c>
      <c r="BR34" s="354">
        <v>0</v>
      </c>
      <c r="BS34" s="354">
        <v>0</v>
      </c>
      <c r="BT34" s="354">
        <v>0</v>
      </c>
      <c r="BU34" s="354">
        <v>0</v>
      </c>
      <c r="BV34" s="354">
        <v>0</v>
      </c>
      <c r="BW34" s="354">
        <v>0</v>
      </c>
      <c r="BX34" s="354">
        <v>0</v>
      </c>
      <c r="BY34" s="354">
        <v>0</v>
      </c>
      <c r="BZ34" s="354">
        <v>0</v>
      </c>
      <c r="CA34" s="354">
        <v>0</v>
      </c>
      <c r="CB34" s="354">
        <v>0</v>
      </c>
      <c r="CC34" s="354">
        <v>0</v>
      </c>
      <c r="CD34" s="354">
        <v>0</v>
      </c>
      <c r="CE34" s="354">
        <v>0</v>
      </c>
      <c r="CF34" s="354">
        <v>0</v>
      </c>
      <c r="CG34" s="354">
        <v>0</v>
      </c>
      <c r="CH34" s="354">
        <v>0</v>
      </c>
      <c r="CI34" s="354">
        <v>0</v>
      </c>
      <c r="CJ34" s="354">
        <v>0</v>
      </c>
      <c r="CK34" s="354">
        <v>0</v>
      </c>
      <c r="CL34" s="354">
        <v>0</v>
      </c>
      <c r="CM34" s="354"/>
      <c r="CN34" s="354"/>
      <c r="CO34" s="354"/>
      <c r="CP34" s="354"/>
      <c r="CQ34" s="354"/>
      <c r="CR34" s="354"/>
      <c r="CS34" s="354"/>
      <c r="CT34" s="354"/>
      <c r="CU34" s="354"/>
      <c r="CV34" s="354"/>
      <c r="CW34" s="354"/>
      <c r="CX34" s="354"/>
      <c r="CY34" s="354"/>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543">
        <f>SUM(G34:DV34)</f>
        <v>0</v>
      </c>
      <c r="DX34" s="858">
        <f>DW34+DW35+DW36</f>
        <v>14332.883500400001</v>
      </c>
      <c r="DY34" s="704">
        <f>+DX34*1000000</f>
        <v>14332883500.400002</v>
      </c>
      <c r="DZ34" s="870">
        <f>+DY34-D34</f>
        <v>0</v>
      </c>
      <c r="EA34" s="873" t="str">
        <f>VLOOKUP(POA!$B34,'Detalle Plan de Adquisiciones'!$G$6:$AF$66,23,0)</f>
        <v>N/A</v>
      </c>
      <c r="EB34" s="859">
        <f>VLOOKUP(POA!$B34,'Detalle Plan de Adquisiciones'!$G$6:$AF$66,25,0)</f>
        <v>41540</v>
      </c>
      <c r="EC34" s="859">
        <f>EB34+30</f>
        <v>41570</v>
      </c>
      <c r="ED34" s="859" t="e">
        <f>CONCATENATE(MONTH(EA34),"-",YEAR(EA34))</f>
        <v>#VALUE!</v>
      </c>
      <c r="EE34" s="859" t="str">
        <f>CONCATENATE(MONTH(EB34),"-",YEAR(EB34))</f>
        <v>9-2013</v>
      </c>
      <c r="EF34" s="861" t="str">
        <f>CONCATENATE(MONTH(EC34),"-",YEAR(EC34))</f>
        <v>10-2013</v>
      </c>
      <c r="EG34" s="1105" t="e">
        <f>+YEAR(EA34)</f>
        <v>#VALUE!</v>
      </c>
      <c r="EH34" s="393">
        <f>+DY34</f>
        <v>14332883500.400002</v>
      </c>
      <c r="EI34" s="858">
        <f>+DW34+DW35+DW36</f>
        <v>14332.883500400001</v>
      </c>
      <c r="EJ34" s="877">
        <f>+D34/1000000-EI34</f>
        <v>0</v>
      </c>
      <c r="ER34" s="497"/>
    </row>
    <row r="35" spans="1:148" s="278" customFormat="1" outlineLevel="2" x14ac:dyDescent="0.2">
      <c r="A35" s="893"/>
      <c r="B35" s="886"/>
      <c r="C35" s="903"/>
      <c r="D35" s="864"/>
      <c r="E35" s="867"/>
      <c r="F35" s="311" t="s">
        <v>210</v>
      </c>
      <c r="G35" s="363">
        <v>0</v>
      </c>
      <c r="H35" s="363">
        <v>0</v>
      </c>
      <c r="I35" s="363">
        <v>0</v>
      </c>
      <c r="J35" s="363">
        <v>0</v>
      </c>
      <c r="K35" s="363">
        <v>0</v>
      </c>
      <c r="L35" s="363">
        <v>0</v>
      </c>
      <c r="M35" s="363">
        <v>0</v>
      </c>
      <c r="N35" s="363">
        <v>0</v>
      </c>
      <c r="O35" s="363">
        <v>0</v>
      </c>
      <c r="P35" s="363">
        <v>0</v>
      </c>
      <c r="Q35" s="363">
        <v>0</v>
      </c>
      <c r="R35" s="363">
        <v>0</v>
      </c>
      <c r="S35" s="363">
        <v>0</v>
      </c>
      <c r="T35" s="363">
        <v>0</v>
      </c>
      <c r="U35" s="363">
        <v>0</v>
      </c>
      <c r="V35" s="363">
        <v>0</v>
      </c>
      <c r="W35" s="363">
        <v>0</v>
      </c>
      <c r="X35" s="363">
        <v>0</v>
      </c>
      <c r="Y35" s="363">
        <v>0</v>
      </c>
      <c r="Z35" s="363">
        <v>0</v>
      </c>
      <c r="AA35" s="363">
        <v>0</v>
      </c>
      <c r="AB35" s="363">
        <v>0</v>
      </c>
      <c r="AC35" s="363">
        <v>0</v>
      </c>
      <c r="AD35" s="363">
        <v>0</v>
      </c>
      <c r="AE35" s="363">
        <v>0</v>
      </c>
      <c r="AF35" s="363">
        <v>0</v>
      </c>
      <c r="AG35" s="363">
        <v>0</v>
      </c>
      <c r="AH35" s="363">
        <v>0</v>
      </c>
      <c r="AI35" s="363">
        <v>0</v>
      </c>
      <c r="AJ35" s="363">
        <v>0</v>
      </c>
      <c r="AK35" s="364">
        <v>2866.5769593999999</v>
      </c>
      <c r="AL35" s="388"/>
      <c r="AM35" s="388">
        <v>0</v>
      </c>
      <c r="AN35" s="363">
        <v>0</v>
      </c>
      <c r="AO35" s="363">
        <v>1502.4581599999999</v>
      </c>
      <c r="AP35" s="364">
        <v>1989.648543</v>
      </c>
      <c r="AQ35" s="363">
        <v>0</v>
      </c>
      <c r="AR35" s="363">
        <v>723.69609000000003</v>
      </c>
      <c r="AS35" s="363">
        <v>1409.1697260000001</v>
      </c>
      <c r="AT35" s="363">
        <v>0</v>
      </c>
      <c r="AU35" s="363">
        <v>611.32531859999995</v>
      </c>
      <c r="AV35" s="363">
        <v>0</v>
      </c>
      <c r="AW35" s="363">
        <v>0</v>
      </c>
      <c r="AX35" s="363">
        <v>0</v>
      </c>
      <c r="AY35" s="363">
        <v>0</v>
      </c>
      <c r="AZ35" s="363">
        <v>0</v>
      </c>
      <c r="BA35" s="363">
        <v>0</v>
      </c>
      <c r="BB35" s="363">
        <v>0</v>
      </c>
      <c r="BC35" s="363">
        <v>0</v>
      </c>
      <c r="BD35" s="363">
        <v>0</v>
      </c>
      <c r="BE35" s="363">
        <v>0</v>
      </c>
      <c r="BF35" s="363">
        <v>0</v>
      </c>
      <c r="BG35" s="363">
        <v>0</v>
      </c>
      <c r="BH35" s="363">
        <v>0</v>
      </c>
      <c r="BI35" s="363">
        <v>0</v>
      </c>
      <c r="BJ35" s="363">
        <v>0</v>
      </c>
      <c r="BK35" s="363">
        <v>0</v>
      </c>
      <c r="BL35" s="363">
        <v>0</v>
      </c>
      <c r="BM35" s="363">
        <v>0</v>
      </c>
      <c r="BN35" s="363">
        <v>0</v>
      </c>
      <c r="BO35" s="363">
        <v>0</v>
      </c>
      <c r="BP35" s="363">
        <v>0</v>
      </c>
      <c r="BQ35" s="363">
        <v>0</v>
      </c>
      <c r="BR35" s="363">
        <v>0</v>
      </c>
      <c r="BS35" s="363">
        <v>0</v>
      </c>
      <c r="BT35" s="363">
        <v>0</v>
      </c>
      <c r="BU35" s="363">
        <v>0</v>
      </c>
      <c r="BV35" s="363">
        <v>0</v>
      </c>
      <c r="BW35" s="363">
        <v>0</v>
      </c>
      <c r="BX35" s="363">
        <v>0</v>
      </c>
      <c r="BY35" s="363">
        <v>0</v>
      </c>
      <c r="BZ35" s="363">
        <v>0</v>
      </c>
      <c r="CA35" s="363">
        <v>0</v>
      </c>
      <c r="CB35" s="363">
        <v>0</v>
      </c>
      <c r="CC35" s="363">
        <v>0</v>
      </c>
      <c r="CD35" s="363">
        <v>0</v>
      </c>
      <c r="CE35" s="363">
        <v>0</v>
      </c>
      <c r="CF35" s="363">
        <v>0</v>
      </c>
      <c r="CG35" s="363">
        <v>0</v>
      </c>
      <c r="CH35" s="363">
        <v>0</v>
      </c>
      <c r="CI35" s="363">
        <v>0</v>
      </c>
      <c r="CJ35" s="363">
        <v>0</v>
      </c>
      <c r="CK35" s="363">
        <v>0</v>
      </c>
      <c r="CL35" s="363">
        <v>0</v>
      </c>
      <c r="CM35" s="363"/>
      <c r="CN35" s="363"/>
      <c r="CO35" s="363"/>
      <c r="CP35" s="363"/>
      <c r="CQ35" s="363"/>
      <c r="CR35" s="363"/>
      <c r="CS35" s="363"/>
      <c r="CT35" s="363"/>
      <c r="CU35" s="363"/>
      <c r="CV35" s="363"/>
      <c r="CW35" s="363"/>
      <c r="CX35" s="363"/>
      <c r="CY35" s="363"/>
      <c r="CZ35" s="363"/>
      <c r="DA35" s="363"/>
      <c r="DB35" s="363"/>
      <c r="DC35" s="363"/>
      <c r="DD35" s="363"/>
      <c r="DE35" s="363"/>
      <c r="DF35" s="363"/>
      <c r="DG35" s="363"/>
      <c r="DH35" s="363"/>
      <c r="DI35" s="363"/>
      <c r="DJ35" s="363"/>
      <c r="DK35" s="363"/>
      <c r="DL35" s="363"/>
      <c r="DM35" s="363"/>
      <c r="DN35" s="363"/>
      <c r="DO35" s="363"/>
      <c r="DP35" s="363"/>
      <c r="DQ35" s="363"/>
      <c r="DR35" s="363"/>
      <c r="DS35" s="363"/>
      <c r="DT35" s="363"/>
      <c r="DU35" s="363"/>
      <c r="DV35" s="363"/>
      <c r="DW35" s="544">
        <f t="shared" si="15"/>
        <v>9102.8747970000004</v>
      </c>
      <c r="DX35" s="858"/>
      <c r="DY35" s="705"/>
      <c r="DZ35" s="871"/>
      <c r="EA35" s="873"/>
      <c r="EB35" s="859"/>
      <c r="EC35" s="859"/>
      <c r="ED35" s="859"/>
      <c r="EE35" s="859"/>
      <c r="EF35" s="861"/>
      <c r="EG35" s="1106"/>
      <c r="EI35" s="858"/>
      <c r="EJ35" s="877"/>
      <c r="ER35" s="497"/>
    </row>
    <row r="36" spans="1:148" s="278" customFormat="1" ht="15" customHeight="1" outlineLevel="2" thickBot="1" x14ac:dyDescent="0.25">
      <c r="A36" s="894"/>
      <c r="B36" s="887"/>
      <c r="C36" s="904"/>
      <c r="D36" s="865"/>
      <c r="E36" s="868"/>
      <c r="F36" s="315" t="s">
        <v>211</v>
      </c>
      <c r="G36" s="364">
        <v>0</v>
      </c>
      <c r="H36" s="364">
        <v>0</v>
      </c>
      <c r="I36" s="364">
        <v>0</v>
      </c>
      <c r="J36" s="364">
        <v>0</v>
      </c>
      <c r="K36" s="364">
        <v>0</v>
      </c>
      <c r="L36" s="364">
        <v>0</v>
      </c>
      <c r="M36" s="364">
        <v>0</v>
      </c>
      <c r="N36" s="364">
        <v>0</v>
      </c>
      <c r="O36" s="364">
        <v>0</v>
      </c>
      <c r="P36" s="364">
        <v>0</v>
      </c>
      <c r="Q36" s="364">
        <v>0</v>
      </c>
      <c r="R36" s="364">
        <v>0</v>
      </c>
      <c r="S36" s="364">
        <v>0</v>
      </c>
      <c r="T36" s="364">
        <v>0</v>
      </c>
      <c r="U36" s="364">
        <v>0</v>
      </c>
      <c r="V36" s="364">
        <v>0</v>
      </c>
      <c r="W36" s="364">
        <v>0</v>
      </c>
      <c r="X36" s="364">
        <v>0</v>
      </c>
      <c r="Y36" s="364">
        <v>0</v>
      </c>
      <c r="Z36" s="364">
        <v>0</v>
      </c>
      <c r="AA36" s="364">
        <v>0</v>
      </c>
      <c r="AB36" s="364">
        <v>0</v>
      </c>
      <c r="AC36" s="364">
        <v>0</v>
      </c>
      <c r="AD36" s="364">
        <v>0</v>
      </c>
      <c r="AE36" s="364">
        <v>0</v>
      </c>
      <c r="AF36" s="364">
        <v>0</v>
      </c>
      <c r="AG36" s="364">
        <v>0</v>
      </c>
      <c r="AH36" s="364">
        <v>0</v>
      </c>
      <c r="AI36" s="364">
        <v>0</v>
      </c>
      <c r="AJ36" s="364">
        <v>0</v>
      </c>
      <c r="AK36" s="364">
        <v>0</v>
      </c>
      <c r="AL36" s="389"/>
      <c r="AM36" s="389">
        <v>0</v>
      </c>
      <c r="AN36" s="364">
        <v>0</v>
      </c>
      <c r="AO36" s="363">
        <v>0</v>
      </c>
      <c r="AP36" s="364">
        <v>302.46798899999999</v>
      </c>
      <c r="AQ36" s="364">
        <v>0</v>
      </c>
      <c r="AR36" s="364">
        <v>0</v>
      </c>
      <c r="AS36" s="364">
        <v>0</v>
      </c>
      <c r="AT36" s="364">
        <v>1139.877874</v>
      </c>
      <c r="AU36" s="364">
        <v>630.26191740000002</v>
      </c>
      <c r="AV36" s="363">
        <v>813.41714899999999</v>
      </c>
      <c r="AW36" s="363">
        <v>447.90217899999999</v>
      </c>
      <c r="AX36" s="364">
        <v>0</v>
      </c>
      <c r="AY36" s="364">
        <v>0</v>
      </c>
      <c r="AZ36" s="364">
        <v>0</v>
      </c>
      <c r="BA36" s="363">
        <v>738.11915699999997</v>
      </c>
      <c r="BB36" s="364">
        <v>1157.962438</v>
      </c>
      <c r="BC36" s="364">
        <v>0</v>
      </c>
      <c r="BD36" s="364">
        <v>0</v>
      </c>
      <c r="BE36" s="364">
        <v>0</v>
      </c>
      <c r="BF36" s="364">
        <v>0</v>
      </c>
      <c r="BG36" s="364">
        <v>0</v>
      </c>
      <c r="BH36" s="364">
        <v>0</v>
      </c>
      <c r="BI36" s="364">
        <v>0</v>
      </c>
      <c r="BJ36" s="364">
        <v>0</v>
      </c>
      <c r="BK36" s="364">
        <v>0</v>
      </c>
      <c r="BL36" s="364">
        <v>0</v>
      </c>
      <c r="BM36" s="364">
        <v>0</v>
      </c>
      <c r="BN36" s="364">
        <v>0</v>
      </c>
      <c r="BO36" s="364">
        <v>0</v>
      </c>
      <c r="BP36" s="364">
        <v>0</v>
      </c>
      <c r="BQ36" s="364">
        <v>0</v>
      </c>
      <c r="BR36" s="364">
        <v>0</v>
      </c>
      <c r="BS36" s="364">
        <v>0</v>
      </c>
      <c r="BT36" s="364">
        <v>0</v>
      </c>
      <c r="BU36" s="364">
        <v>0</v>
      </c>
      <c r="BV36" s="364">
        <v>0</v>
      </c>
      <c r="BW36" s="364">
        <v>0</v>
      </c>
      <c r="BX36" s="364">
        <v>0</v>
      </c>
      <c r="BY36" s="364">
        <v>0</v>
      </c>
      <c r="BZ36" s="364">
        <v>0</v>
      </c>
      <c r="CA36" s="364">
        <v>0</v>
      </c>
      <c r="CB36" s="364">
        <v>0</v>
      </c>
      <c r="CC36" s="364">
        <v>0</v>
      </c>
      <c r="CD36" s="364">
        <v>0</v>
      </c>
      <c r="CE36" s="364">
        <v>0</v>
      </c>
      <c r="CF36" s="364">
        <v>0</v>
      </c>
      <c r="CG36" s="364">
        <v>0</v>
      </c>
      <c r="CH36" s="364">
        <v>0</v>
      </c>
      <c r="CI36" s="364">
        <v>0</v>
      </c>
      <c r="CJ36" s="364">
        <v>0</v>
      </c>
      <c r="CK36" s="364">
        <v>0</v>
      </c>
      <c r="CL36" s="364">
        <v>0</v>
      </c>
      <c r="CM36" s="364"/>
      <c r="CN36" s="364"/>
      <c r="CO36" s="364"/>
      <c r="CP36" s="364"/>
      <c r="CQ36" s="364"/>
      <c r="CR36" s="364"/>
      <c r="CS36" s="364"/>
      <c r="CT36" s="364"/>
      <c r="CU36" s="364"/>
      <c r="CV36" s="364"/>
      <c r="CW36" s="364"/>
      <c r="CX36" s="364"/>
      <c r="CY36" s="364"/>
      <c r="CZ36" s="364"/>
      <c r="DA36" s="364"/>
      <c r="DB36" s="364"/>
      <c r="DC36" s="364"/>
      <c r="DD36" s="364"/>
      <c r="DE36" s="364"/>
      <c r="DF36" s="364"/>
      <c r="DG36" s="364"/>
      <c r="DH36" s="364"/>
      <c r="DI36" s="364"/>
      <c r="DJ36" s="364"/>
      <c r="DK36" s="364"/>
      <c r="DL36" s="364"/>
      <c r="DM36" s="364"/>
      <c r="DN36" s="364"/>
      <c r="DO36" s="364"/>
      <c r="DP36" s="364"/>
      <c r="DQ36" s="364"/>
      <c r="DR36" s="364"/>
      <c r="DS36" s="364"/>
      <c r="DT36" s="364"/>
      <c r="DU36" s="364"/>
      <c r="DV36" s="364"/>
      <c r="DW36" s="649">
        <f t="shared" si="15"/>
        <v>5230.0087034000007</v>
      </c>
      <c r="DX36" s="858"/>
      <c r="DY36" s="706"/>
      <c r="DZ36" s="872"/>
      <c r="EA36" s="873"/>
      <c r="EB36" s="859"/>
      <c r="EC36" s="859"/>
      <c r="ED36" s="859"/>
      <c r="EE36" s="859"/>
      <c r="EF36" s="861"/>
      <c r="EG36" s="1107"/>
      <c r="EI36" s="858"/>
      <c r="EJ36" s="877"/>
      <c r="ER36" s="497"/>
    </row>
    <row r="37" spans="1:148" s="278" customFormat="1" ht="24" outlineLevel="2" x14ac:dyDescent="0.2">
      <c r="A37" s="892" t="s">
        <v>365</v>
      </c>
      <c r="B37" s="897">
        <v>91</v>
      </c>
      <c r="C37" s="902">
        <v>10</v>
      </c>
      <c r="D37" s="863">
        <f>+'Detalle Plan de Adquisiciones'!M12</f>
        <v>2238946995</v>
      </c>
      <c r="E37" s="866" t="s">
        <v>115</v>
      </c>
      <c r="F37" s="312" t="s">
        <v>410</v>
      </c>
      <c r="G37" s="354">
        <v>0</v>
      </c>
      <c r="H37" s="354">
        <v>0</v>
      </c>
      <c r="I37" s="354">
        <v>0</v>
      </c>
      <c r="J37" s="354">
        <v>0</v>
      </c>
      <c r="K37" s="354">
        <v>0</v>
      </c>
      <c r="L37" s="354">
        <v>0</v>
      </c>
      <c r="M37" s="354">
        <v>0</v>
      </c>
      <c r="N37" s="354">
        <v>0</v>
      </c>
      <c r="O37" s="354">
        <v>0</v>
      </c>
      <c r="P37" s="354">
        <v>0</v>
      </c>
      <c r="Q37" s="354">
        <v>0</v>
      </c>
      <c r="R37" s="354">
        <v>0</v>
      </c>
      <c r="S37" s="354">
        <v>0</v>
      </c>
      <c r="T37" s="354">
        <v>0</v>
      </c>
      <c r="U37" s="354">
        <v>0</v>
      </c>
      <c r="V37" s="354">
        <v>0</v>
      </c>
      <c r="W37" s="354">
        <v>0</v>
      </c>
      <c r="X37" s="354">
        <v>0</v>
      </c>
      <c r="Y37" s="354">
        <v>0</v>
      </c>
      <c r="Z37" s="354">
        <v>0</v>
      </c>
      <c r="AA37" s="354">
        <v>0</v>
      </c>
      <c r="AB37" s="354">
        <v>0</v>
      </c>
      <c r="AC37" s="354">
        <v>0</v>
      </c>
      <c r="AD37" s="354">
        <v>0</v>
      </c>
      <c r="AE37" s="354">
        <v>0</v>
      </c>
      <c r="AF37" s="354">
        <v>0</v>
      </c>
      <c r="AG37" s="354">
        <v>0</v>
      </c>
      <c r="AH37" s="354">
        <v>0</v>
      </c>
      <c r="AI37" s="354">
        <v>0</v>
      </c>
      <c r="AJ37" s="354">
        <v>0</v>
      </c>
      <c r="AK37" s="354">
        <v>0</v>
      </c>
      <c r="AL37" s="390">
        <v>0</v>
      </c>
      <c r="AM37" s="390">
        <v>0</v>
      </c>
      <c r="AN37" s="354">
        <v>0</v>
      </c>
      <c r="AO37" s="354">
        <v>0</v>
      </c>
      <c r="AP37" s="354">
        <v>0</v>
      </c>
      <c r="AQ37" s="354">
        <v>0</v>
      </c>
      <c r="AR37" s="354">
        <v>0</v>
      </c>
      <c r="AS37" s="354">
        <v>0</v>
      </c>
      <c r="AT37" s="354">
        <v>0</v>
      </c>
      <c r="AU37" s="354">
        <v>0</v>
      </c>
      <c r="AV37" s="354">
        <v>0</v>
      </c>
      <c r="AW37" s="354">
        <v>0</v>
      </c>
      <c r="AX37" s="354">
        <v>0</v>
      </c>
      <c r="AY37" s="354">
        <v>0</v>
      </c>
      <c r="AZ37" s="354">
        <v>0</v>
      </c>
      <c r="BA37" s="354">
        <v>0</v>
      </c>
      <c r="BB37" s="354">
        <v>0</v>
      </c>
      <c r="BC37" s="354">
        <v>0</v>
      </c>
      <c r="BD37" s="354">
        <v>0</v>
      </c>
      <c r="BE37" s="354">
        <v>0</v>
      </c>
      <c r="BF37" s="354">
        <v>0</v>
      </c>
      <c r="BG37" s="354">
        <v>0</v>
      </c>
      <c r="BH37" s="354">
        <v>0</v>
      </c>
      <c r="BI37" s="354">
        <v>0</v>
      </c>
      <c r="BJ37" s="354">
        <v>0</v>
      </c>
      <c r="BK37" s="354">
        <v>0</v>
      </c>
      <c r="BL37" s="354">
        <v>0</v>
      </c>
      <c r="BM37" s="354">
        <v>0</v>
      </c>
      <c r="BN37" s="354">
        <v>0</v>
      </c>
      <c r="BO37" s="354">
        <v>0</v>
      </c>
      <c r="BP37" s="354">
        <v>0</v>
      </c>
      <c r="BQ37" s="354">
        <v>0</v>
      </c>
      <c r="BR37" s="354">
        <v>0</v>
      </c>
      <c r="BS37" s="354">
        <v>0</v>
      </c>
      <c r="BT37" s="354">
        <v>0</v>
      </c>
      <c r="BU37" s="354">
        <v>0</v>
      </c>
      <c r="BV37" s="354">
        <v>0</v>
      </c>
      <c r="BW37" s="354">
        <v>0</v>
      </c>
      <c r="BX37" s="354">
        <v>0</v>
      </c>
      <c r="BY37" s="354">
        <v>0</v>
      </c>
      <c r="BZ37" s="354">
        <v>0</v>
      </c>
      <c r="CA37" s="354">
        <v>0</v>
      </c>
      <c r="CB37" s="354">
        <v>0</v>
      </c>
      <c r="CC37" s="354">
        <v>0</v>
      </c>
      <c r="CD37" s="354">
        <v>0</v>
      </c>
      <c r="CE37" s="354">
        <v>0</v>
      </c>
      <c r="CF37" s="354">
        <v>0</v>
      </c>
      <c r="CG37" s="354">
        <v>0</v>
      </c>
      <c r="CH37" s="354">
        <v>0</v>
      </c>
      <c r="CI37" s="354">
        <v>0</v>
      </c>
      <c r="CJ37" s="354">
        <v>0</v>
      </c>
      <c r="CK37" s="354">
        <v>0</v>
      </c>
      <c r="CL37" s="354">
        <v>0</v>
      </c>
      <c r="CM37" s="354"/>
      <c r="CN37" s="354"/>
      <c r="CO37" s="354"/>
      <c r="CP37" s="354"/>
      <c r="CQ37" s="354"/>
      <c r="CR37" s="354"/>
      <c r="CS37" s="354"/>
      <c r="CT37" s="354"/>
      <c r="CU37" s="354"/>
      <c r="CV37" s="354"/>
      <c r="CW37" s="354"/>
      <c r="CX37" s="354"/>
      <c r="CY37" s="354"/>
      <c r="CZ37" s="354"/>
      <c r="DA37" s="354"/>
      <c r="DB37" s="354"/>
      <c r="DC37" s="354"/>
      <c r="DD37" s="354"/>
      <c r="DE37" s="354"/>
      <c r="DF37" s="354"/>
      <c r="DG37" s="354"/>
      <c r="DH37" s="354"/>
      <c r="DI37" s="354"/>
      <c r="DJ37" s="354"/>
      <c r="DK37" s="354"/>
      <c r="DL37" s="354"/>
      <c r="DM37" s="354"/>
      <c r="DN37" s="354"/>
      <c r="DO37" s="354"/>
      <c r="DP37" s="354"/>
      <c r="DQ37" s="354"/>
      <c r="DR37" s="354"/>
      <c r="DS37" s="354"/>
      <c r="DT37" s="354"/>
      <c r="DU37" s="354"/>
      <c r="DV37" s="354"/>
      <c r="DW37" s="543">
        <f>SUM(G37:DV37)</f>
        <v>0</v>
      </c>
      <c r="DX37" s="858">
        <f>DW37+DW38+DW39</f>
        <v>2238.9469939999999</v>
      </c>
      <c r="DY37" s="704">
        <f>+DX37*1000000</f>
        <v>2238946994</v>
      </c>
      <c r="DZ37" s="870">
        <f>+DY37-D37</f>
        <v>-1</v>
      </c>
      <c r="EA37" s="873" t="str">
        <f>VLOOKUP(POA!$B37,'Detalle Plan de Adquisiciones'!$G$6:$AF$66,23,0)</f>
        <v>N/A</v>
      </c>
      <c r="EB37" s="859">
        <f>VLOOKUP(POA!$B37,'Detalle Plan de Adquisiciones'!$G$6:$AF$66,25,0)</f>
        <v>41248</v>
      </c>
      <c r="EC37" s="859">
        <f>EB37+30</f>
        <v>41278</v>
      </c>
      <c r="ED37" s="859" t="e">
        <f>CONCATENATE(MONTH(EA37),"-",YEAR(EA37))</f>
        <v>#VALUE!</v>
      </c>
      <c r="EE37" s="859" t="str">
        <f>CONCATENATE(MONTH(EB37),"-",YEAR(EB37))</f>
        <v>12-2012</v>
      </c>
      <c r="EF37" s="861" t="str">
        <f>CONCATENATE(MONTH(EC37),"-",YEAR(EC37))</f>
        <v>1-2013</v>
      </c>
      <c r="EG37" s="1105" t="e">
        <f>+YEAR(EA37)</f>
        <v>#VALUE!</v>
      </c>
      <c r="EH37" s="393">
        <f>+DY37</f>
        <v>2238946994</v>
      </c>
      <c r="EI37" s="858">
        <f>+DW37+DW38+DW39</f>
        <v>2238.9469939999999</v>
      </c>
      <c r="EJ37" s="877">
        <f>+D37/1000000-EI37</f>
        <v>9.9999988378840499E-7</v>
      </c>
      <c r="ER37" s="497"/>
    </row>
    <row r="38" spans="1:148" s="278" customFormat="1" ht="13.5" customHeight="1" outlineLevel="2" x14ac:dyDescent="0.2">
      <c r="A38" s="893"/>
      <c r="B38" s="886"/>
      <c r="C38" s="903"/>
      <c r="D38" s="864"/>
      <c r="E38" s="867"/>
      <c r="F38" s="311" t="s">
        <v>210</v>
      </c>
      <c r="G38" s="363">
        <v>0</v>
      </c>
      <c r="H38" s="363">
        <v>0</v>
      </c>
      <c r="I38" s="363">
        <v>0</v>
      </c>
      <c r="J38" s="363">
        <v>0</v>
      </c>
      <c r="K38" s="363">
        <v>0</v>
      </c>
      <c r="L38" s="363">
        <v>0</v>
      </c>
      <c r="M38" s="363">
        <v>0</v>
      </c>
      <c r="N38" s="363">
        <v>0</v>
      </c>
      <c r="O38" s="363">
        <v>0</v>
      </c>
      <c r="P38" s="363">
        <v>0</v>
      </c>
      <c r="Q38" s="363">
        <v>0</v>
      </c>
      <c r="R38" s="363">
        <v>0</v>
      </c>
      <c r="S38" s="363">
        <v>0</v>
      </c>
      <c r="T38" s="363">
        <v>0</v>
      </c>
      <c r="U38" s="363">
        <v>0</v>
      </c>
      <c r="V38" s="363">
        <v>0</v>
      </c>
      <c r="W38" s="363">
        <v>0</v>
      </c>
      <c r="X38" s="363">
        <v>0</v>
      </c>
      <c r="Y38" s="363">
        <v>0</v>
      </c>
      <c r="Z38" s="363">
        <v>0</v>
      </c>
      <c r="AA38" s="363">
        <v>0</v>
      </c>
      <c r="AB38" s="363">
        <v>0</v>
      </c>
      <c r="AC38" s="363">
        <v>0</v>
      </c>
      <c r="AD38" s="363">
        <v>0</v>
      </c>
      <c r="AE38" s="363">
        <v>0</v>
      </c>
      <c r="AF38" s="363">
        <v>0</v>
      </c>
      <c r="AG38" s="363"/>
      <c r="AH38" s="363"/>
      <c r="AI38" s="363">
        <v>447.789399</v>
      </c>
      <c r="AJ38" s="363">
        <v>0</v>
      </c>
      <c r="AK38" s="363">
        <v>0</v>
      </c>
      <c r="AL38" s="363">
        <v>0</v>
      </c>
      <c r="AM38" s="363">
        <v>0</v>
      </c>
      <c r="AN38" s="363">
        <v>379.44093900000001</v>
      </c>
      <c r="AO38" s="363">
        <v>0</v>
      </c>
      <c r="AP38" s="364">
        <v>0</v>
      </c>
      <c r="AQ38" s="363">
        <v>388.38299499999999</v>
      </c>
      <c r="AR38" s="363"/>
      <c r="AS38" s="363">
        <v>0</v>
      </c>
      <c r="AT38" s="363">
        <v>0</v>
      </c>
      <c r="AU38" s="363">
        <v>0</v>
      </c>
      <c r="AV38" s="363">
        <v>0</v>
      </c>
      <c r="AW38" s="363">
        <v>0</v>
      </c>
      <c r="AX38" s="363">
        <v>0</v>
      </c>
      <c r="AY38" s="363">
        <v>0</v>
      </c>
      <c r="AZ38" s="363">
        <v>0</v>
      </c>
      <c r="BA38" s="363">
        <v>0</v>
      </c>
      <c r="BB38" s="363">
        <v>0</v>
      </c>
      <c r="BC38" s="363">
        <v>0</v>
      </c>
      <c r="BD38" s="363">
        <v>0</v>
      </c>
      <c r="BE38" s="363">
        <v>0</v>
      </c>
      <c r="BF38" s="363">
        <v>0</v>
      </c>
      <c r="BG38" s="363">
        <v>0</v>
      </c>
      <c r="BH38" s="363">
        <v>0</v>
      </c>
      <c r="BI38" s="363">
        <v>0</v>
      </c>
      <c r="BJ38" s="363">
        <v>0</v>
      </c>
      <c r="BK38" s="363">
        <v>0</v>
      </c>
      <c r="BL38" s="363">
        <v>0</v>
      </c>
      <c r="BM38" s="363">
        <v>0</v>
      </c>
      <c r="BN38" s="363">
        <v>0</v>
      </c>
      <c r="BO38" s="363">
        <v>0</v>
      </c>
      <c r="BP38" s="363">
        <v>0</v>
      </c>
      <c r="BQ38" s="363">
        <v>0</v>
      </c>
      <c r="BR38" s="363">
        <v>0</v>
      </c>
      <c r="BS38" s="363">
        <v>0</v>
      </c>
      <c r="BT38" s="363">
        <v>0</v>
      </c>
      <c r="BU38" s="363">
        <v>0</v>
      </c>
      <c r="BV38" s="363">
        <v>0</v>
      </c>
      <c r="BW38" s="363">
        <v>0</v>
      </c>
      <c r="BX38" s="363">
        <v>0</v>
      </c>
      <c r="BY38" s="363">
        <v>0</v>
      </c>
      <c r="BZ38" s="363">
        <v>0</v>
      </c>
      <c r="CA38" s="363">
        <v>0</v>
      </c>
      <c r="CB38" s="363">
        <v>0</v>
      </c>
      <c r="CC38" s="363">
        <v>0</v>
      </c>
      <c r="CD38" s="363">
        <v>0</v>
      </c>
      <c r="CE38" s="363">
        <v>0</v>
      </c>
      <c r="CF38" s="363">
        <v>0</v>
      </c>
      <c r="CG38" s="363">
        <v>0</v>
      </c>
      <c r="CH38" s="363">
        <v>0</v>
      </c>
      <c r="CI38" s="363">
        <v>0</v>
      </c>
      <c r="CJ38" s="363">
        <v>0</v>
      </c>
      <c r="CK38" s="363">
        <v>0</v>
      </c>
      <c r="CL38" s="363">
        <v>0</v>
      </c>
      <c r="CM38" s="363"/>
      <c r="CN38" s="363"/>
      <c r="CO38" s="363"/>
      <c r="CP38" s="363"/>
      <c r="CQ38" s="363"/>
      <c r="CR38" s="363"/>
      <c r="CS38" s="363"/>
      <c r="CT38" s="363"/>
      <c r="CU38" s="363"/>
      <c r="CV38" s="363"/>
      <c r="CW38" s="363"/>
      <c r="CX38" s="363"/>
      <c r="CY38" s="363"/>
      <c r="CZ38" s="363"/>
      <c r="DA38" s="363"/>
      <c r="DB38" s="363"/>
      <c r="DC38" s="363"/>
      <c r="DD38" s="363"/>
      <c r="DE38" s="363"/>
      <c r="DF38" s="363"/>
      <c r="DG38" s="363"/>
      <c r="DH38" s="363"/>
      <c r="DI38" s="363"/>
      <c r="DJ38" s="363"/>
      <c r="DK38" s="363"/>
      <c r="DL38" s="363"/>
      <c r="DM38" s="363"/>
      <c r="DN38" s="363"/>
      <c r="DO38" s="363"/>
      <c r="DP38" s="363"/>
      <c r="DQ38" s="363"/>
      <c r="DR38" s="363"/>
      <c r="DS38" s="363"/>
      <c r="DT38" s="363"/>
      <c r="DU38" s="363"/>
      <c r="DV38" s="363"/>
      <c r="DW38" s="544">
        <f t="shared" si="15"/>
        <v>1215.613333</v>
      </c>
      <c r="DX38" s="858"/>
      <c r="DY38" s="705"/>
      <c r="DZ38" s="871"/>
      <c r="EA38" s="873"/>
      <c r="EB38" s="859"/>
      <c r="EC38" s="859"/>
      <c r="ED38" s="859"/>
      <c r="EE38" s="859"/>
      <c r="EF38" s="861"/>
      <c r="EG38" s="1106"/>
      <c r="EI38" s="858"/>
      <c r="EJ38" s="877"/>
      <c r="ER38" s="497"/>
    </row>
    <row r="39" spans="1:148" s="278" customFormat="1" ht="12.75" outlineLevel="2" thickBot="1" x14ac:dyDescent="0.25">
      <c r="A39" s="894"/>
      <c r="B39" s="887"/>
      <c r="C39" s="904"/>
      <c r="D39" s="865"/>
      <c r="E39" s="868"/>
      <c r="F39" s="315" t="s">
        <v>211</v>
      </c>
      <c r="G39" s="364">
        <v>0</v>
      </c>
      <c r="H39" s="364">
        <v>0</v>
      </c>
      <c r="I39" s="364">
        <v>0</v>
      </c>
      <c r="J39" s="364">
        <v>0</v>
      </c>
      <c r="K39" s="364">
        <v>0</v>
      </c>
      <c r="L39" s="364">
        <v>0</v>
      </c>
      <c r="M39" s="364">
        <v>0</v>
      </c>
      <c r="N39" s="364">
        <v>0</v>
      </c>
      <c r="O39" s="364">
        <v>0</v>
      </c>
      <c r="P39" s="364">
        <v>0</v>
      </c>
      <c r="Q39" s="364">
        <v>0</v>
      </c>
      <c r="R39" s="364">
        <v>0</v>
      </c>
      <c r="S39" s="364">
        <v>0</v>
      </c>
      <c r="T39" s="364">
        <v>0</v>
      </c>
      <c r="U39" s="364">
        <v>0</v>
      </c>
      <c r="V39" s="364">
        <v>0</v>
      </c>
      <c r="W39" s="364">
        <v>0</v>
      </c>
      <c r="X39" s="364">
        <v>0</v>
      </c>
      <c r="Y39" s="364">
        <v>0</v>
      </c>
      <c r="Z39" s="364">
        <v>0</v>
      </c>
      <c r="AA39" s="364">
        <v>0</v>
      </c>
      <c r="AB39" s="364">
        <v>0</v>
      </c>
      <c r="AC39" s="364">
        <v>0</v>
      </c>
      <c r="AD39" s="364">
        <v>0</v>
      </c>
      <c r="AE39" s="364">
        <v>0</v>
      </c>
      <c r="AF39" s="364">
        <v>0</v>
      </c>
      <c r="AG39" s="364"/>
      <c r="AH39" s="364"/>
      <c r="AI39" s="364">
        <v>0</v>
      </c>
      <c r="AJ39" s="364">
        <v>0</v>
      </c>
      <c r="AK39" s="364">
        <v>0</v>
      </c>
      <c r="AL39" s="363">
        <v>216.138981</v>
      </c>
      <c r="AM39" s="364">
        <v>385.19566700000001</v>
      </c>
      <c r="AN39" s="364"/>
      <c r="AO39" s="364">
        <v>0</v>
      </c>
      <c r="AP39" s="364">
        <v>421.99901299999999</v>
      </c>
      <c r="AQ39" s="364"/>
      <c r="AR39" s="364">
        <v>0</v>
      </c>
      <c r="AS39" s="364">
        <v>0</v>
      </c>
      <c r="AT39" s="364">
        <v>0</v>
      </c>
      <c r="AU39" s="364">
        <v>0</v>
      </c>
      <c r="AV39" s="364">
        <v>0</v>
      </c>
      <c r="AW39" s="364">
        <v>0</v>
      </c>
      <c r="AX39" s="364">
        <v>0</v>
      </c>
      <c r="AY39" s="364">
        <v>0</v>
      </c>
      <c r="AZ39" s="364">
        <v>0</v>
      </c>
      <c r="BA39" s="364">
        <v>0</v>
      </c>
      <c r="BB39" s="364">
        <v>0</v>
      </c>
      <c r="BC39" s="364">
        <v>0</v>
      </c>
      <c r="BD39" s="364">
        <v>0</v>
      </c>
      <c r="BE39" s="364">
        <v>0</v>
      </c>
      <c r="BF39" s="364">
        <v>0</v>
      </c>
      <c r="BG39" s="364">
        <v>0</v>
      </c>
      <c r="BH39" s="364">
        <v>0</v>
      </c>
      <c r="BI39" s="364">
        <v>0</v>
      </c>
      <c r="BJ39" s="364">
        <v>0</v>
      </c>
      <c r="BK39" s="364">
        <v>0</v>
      </c>
      <c r="BL39" s="364">
        <v>0</v>
      </c>
      <c r="BM39" s="364">
        <v>0</v>
      </c>
      <c r="BN39" s="364">
        <v>0</v>
      </c>
      <c r="BO39" s="364">
        <v>0</v>
      </c>
      <c r="BP39" s="364">
        <v>0</v>
      </c>
      <c r="BQ39" s="364">
        <v>0</v>
      </c>
      <c r="BR39" s="364">
        <v>0</v>
      </c>
      <c r="BS39" s="364">
        <v>0</v>
      </c>
      <c r="BT39" s="364">
        <v>0</v>
      </c>
      <c r="BU39" s="364">
        <v>0</v>
      </c>
      <c r="BV39" s="364">
        <v>0</v>
      </c>
      <c r="BW39" s="364">
        <v>0</v>
      </c>
      <c r="BX39" s="364">
        <v>0</v>
      </c>
      <c r="BY39" s="364">
        <v>0</v>
      </c>
      <c r="BZ39" s="364">
        <v>0</v>
      </c>
      <c r="CA39" s="364">
        <v>0</v>
      </c>
      <c r="CB39" s="364">
        <v>0</v>
      </c>
      <c r="CC39" s="364">
        <v>0</v>
      </c>
      <c r="CD39" s="364">
        <v>0</v>
      </c>
      <c r="CE39" s="364">
        <v>0</v>
      </c>
      <c r="CF39" s="364">
        <v>0</v>
      </c>
      <c r="CG39" s="364">
        <v>0</v>
      </c>
      <c r="CH39" s="364">
        <v>0</v>
      </c>
      <c r="CI39" s="364">
        <v>0</v>
      </c>
      <c r="CJ39" s="364">
        <v>0</v>
      </c>
      <c r="CK39" s="364">
        <v>0</v>
      </c>
      <c r="CL39" s="364">
        <v>0</v>
      </c>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649">
        <f t="shared" si="15"/>
        <v>1023.333661</v>
      </c>
      <c r="DX39" s="858"/>
      <c r="DY39" s="706"/>
      <c r="DZ39" s="872"/>
      <c r="EA39" s="873"/>
      <c r="EB39" s="859"/>
      <c r="EC39" s="859"/>
      <c r="ED39" s="859"/>
      <c r="EE39" s="859"/>
      <c r="EF39" s="861"/>
      <c r="EG39" s="1107"/>
      <c r="EI39" s="858"/>
      <c r="EJ39" s="877"/>
      <c r="ER39" s="497"/>
    </row>
    <row r="40" spans="1:148" s="278" customFormat="1" ht="24" outlineLevel="2" x14ac:dyDescent="0.2">
      <c r="A40" s="892" t="s">
        <v>373</v>
      </c>
      <c r="B40" s="897" t="s">
        <v>165</v>
      </c>
      <c r="C40" s="902">
        <v>7</v>
      </c>
      <c r="D40" s="863">
        <f>+'Detalle Plan de Adquisiciones'!M13</f>
        <v>4320000000</v>
      </c>
      <c r="E40" s="866" t="s">
        <v>116</v>
      </c>
      <c r="F40" s="312" t="s">
        <v>410</v>
      </c>
      <c r="G40" s="354">
        <v>0</v>
      </c>
      <c r="H40" s="354">
        <v>0</v>
      </c>
      <c r="I40" s="354">
        <v>0</v>
      </c>
      <c r="J40" s="354">
        <v>0</v>
      </c>
      <c r="K40" s="354">
        <v>0</v>
      </c>
      <c r="L40" s="354">
        <v>0</v>
      </c>
      <c r="M40" s="354">
        <v>0</v>
      </c>
      <c r="N40" s="354">
        <v>0</v>
      </c>
      <c r="O40" s="354">
        <v>0</v>
      </c>
      <c r="P40" s="354">
        <v>0</v>
      </c>
      <c r="Q40" s="354">
        <v>0</v>
      </c>
      <c r="R40" s="354">
        <v>0</v>
      </c>
      <c r="S40" s="354">
        <v>0</v>
      </c>
      <c r="T40" s="354">
        <v>0</v>
      </c>
      <c r="U40" s="354">
        <v>0</v>
      </c>
      <c r="V40" s="354">
        <v>0</v>
      </c>
      <c r="W40" s="354">
        <v>0</v>
      </c>
      <c r="X40" s="354">
        <v>0</v>
      </c>
      <c r="Y40" s="354">
        <v>0</v>
      </c>
      <c r="Z40" s="354">
        <v>0</v>
      </c>
      <c r="AA40" s="354">
        <v>0</v>
      </c>
      <c r="AB40" s="354">
        <v>0</v>
      </c>
      <c r="AC40" s="354">
        <v>0</v>
      </c>
      <c r="AD40" s="354">
        <v>0</v>
      </c>
      <c r="AE40" s="354">
        <v>0</v>
      </c>
      <c r="AF40" s="354">
        <v>0</v>
      </c>
      <c r="AG40" s="354">
        <v>0</v>
      </c>
      <c r="AH40" s="354">
        <v>0</v>
      </c>
      <c r="AI40" s="354">
        <v>0</v>
      </c>
      <c r="AJ40" s="354">
        <v>0</v>
      </c>
      <c r="AK40" s="354">
        <v>0</v>
      </c>
      <c r="AL40" s="354">
        <v>0</v>
      </c>
      <c r="AM40" s="354"/>
      <c r="AN40" s="354"/>
      <c r="AO40" s="354">
        <v>0</v>
      </c>
      <c r="AP40" s="354">
        <v>0</v>
      </c>
      <c r="AQ40" s="354">
        <v>0</v>
      </c>
      <c r="AR40" s="354">
        <v>0</v>
      </c>
      <c r="AS40" s="354">
        <v>0</v>
      </c>
      <c r="AT40" s="354">
        <v>0</v>
      </c>
      <c r="AU40" s="354">
        <v>0</v>
      </c>
      <c r="AV40" s="354">
        <v>0</v>
      </c>
      <c r="AW40" s="354">
        <v>0</v>
      </c>
      <c r="AX40" s="354">
        <v>0</v>
      </c>
      <c r="AY40" s="354">
        <v>0</v>
      </c>
      <c r="AZ40" s="354">
        <v>0</v>
      </c>
      <c r="BA40" s="354">
        <v>0</v>
      </c>
      <c r="BB40" s="354">
        <v>0</v>
      </c>
      <c r="BC40" s="354">
        <v>0</v>
      </c>
      <c r="BD40" s="354">
        <v>0</v>
      </c>
      <c r="BE40" s="354">
        <v>0</v>
      </c>
      <c r="BF40" s="354">
        <v>0</v>
      </c>
      <c r="BG40" s="354">
        <v>0</v>
      </c>
      <c r="BH40" s="354">
        <v>0</v>
      </c>
      <c r="BI40" s="354">
        <v>0</v>
      </c>
      <c r="BJ40" s="354">
        <v>0</v>
      </c>
      <c r="BK40" s="354">
        <v>0</v>
      </c>
      <c r="BL40" s="354">
        <v>0</v>
      </c>
      <c r="BM40" s="354">
        <v>0</v>
      </c>
      <c r="BN40" s="354">
        <v>0</v>
      </c>
      <c r="BO40" s="354">
        <v>0</v>
      </c>
      <c r="BP40" s="354">
        <v>0</v>
      </c>
      <c r="BQ40" s="354">
        <v>0</v>
      </c>
      <c r="BR40" s="354">
        <v>0</v>
      </c>
      <c r="BS40" s="354">
        <v>0</v>
      </c>
      <c r="BT40" s="354">
        <v>0</v>
      </c>
      <c r="BU40" s="354">
        <v>0</v>
      </c>
      <c r="BV40" s="354">
        <v>0</v>
      </c>
      <c r="BW40" s="354">
        <v>0</v>
      </c>
      <c r="BX40" s="354">
        <v>0</v>
      </c>
      <c r="BY40" s="354">
        <v>0</v>
      </c>
      <c r="BZ40" s="354">
        <v>0</v>
      </c>
      <c r="CA40" s="354">
        <v>0</v>
      </c>
      <c r="CB40" s="354">
        <v>0</v>
      </c>
      <c r="CC40" s="354">
        <v>0</v>
      </c>
      <c r="CD40" s="354">
        <v>0</v>
      </c>
      <c r="CE40" s="354">
        <v>0</v>
      </c>
      <c r="CF40" s="354">
        <v>0</v>
      </c>
      <c r="CG40" s="354">
        <v>0</v>
      </c>
      <c r="CH40" s="354">
        <v>0</v>
      </c>
      <c r="CI40" s="354">
        <v>0</v>
      </c>
      <c r="CJ40" s="354">
        <v>0</v>
      </c>
      <c r="CK40" s="354">
        <v>0</v>
      </c>
      <c r="CL40" s="354">
        <v>0</v>
      </c>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4"/>
      <c r="DJ40" s="354"/>
      <c r="DK40" s="354"/>
      <c r="DL40" s="354"/>
      <c r="DM40" s="354"/>
      <c r="DN40" s="354"/>
      <c r="DO40" s="354"/>
      <c r="DP40" s="354"/>
      <c r="DQ40" s="354"/>
      <c r="DR40" s="354"/>
      <c r="DS40" s="354"/>
      <c r="DT40" s="354"/>
      <c r="DU40" s="354"/>
      <c r="DV40" s="354"/>
      <c r="DW40" s="543">
        <f>SUM(G40:DV40)</f>
        <v>0</v>
      </c>
      <c r="DX40" s="858">
        <f>DW40+DW41+DW42</f>
        <v>4320</v>
      </c>
      <c r="DY40" s="704">
        <f>+DX40*1000000</f>
        <v>4320000000</v>
      </c>
      <c r="DZ40" s="870">
        <f>+DY40-D40</f>
        <v>0</v>
      </c>
      <c r="EA40" s="873" t="str">
        <f>VLOOKUP(POA!$B40,'Detalle Plan de Adquisiciones'!$G$6:$AF$66,23,0)</f>
        <v>N/A</v>
      </c>
      <c r="EB40" s="859">
        <f>VLOOKUP(POA!$B40,'Detalle Plan de Adquisiciones'!$G$6:$AF$66,25,0)</f>
        <v>41294</v>
      </c>
      <c r="EC40" s="859">
        <f>EB40+30</f>
        <v>41324</v>
      </c>
      <c r="ED40" s="859" t="e">
        <f>CONCATENATE(MONTH(EA40),"-",YEAR(EA40))</f>
        <v>#VALUE!</v>
      </c>
      <c r="EE40" s="859" t="str">
        <f>CONCATENATE(MONTH(EB40),"-",YEAR(EB40))</f>
        <v>1-2013</v>
      </c>
      <c r="EF40" s="861" t="str">
        <f>CONCATENATE(MONTH(EC40),"-",YEAR(EC40))</f>
        <v>2-2013</v>
      </c>
      <c r="EG40" s="1105" t="e">
        <f>+YEAR(EA40)</f>
        <v>#VALUE!</v>
      </c>
      <c r="EH40" s="393">
        <f>+DY40</f>
        <v>4320000000</v>
      </c>
      <c r="EI40" s="858">
        <f>+DW40+DW41+DW42</f>
        <v>4320</v>
      </c>
      <c r="EJ40" s="877">
        <f>+D40/1000000-EI40</f>
        <v>0</v>
      </c>
      <c r="ER40" s="497"/>
    </row>
    <row r="41" spans="1:148" s="278" customFormat="1" outlineLevel="2" x14ac:dyDescent="0.2">
      <c r="A41" s="893"/>
      <c r="B41" s="886"/>
      <c r="C41" s="903"/>
      <c r="D41" s="864"/>
      <c r="E41" s="867"/>
      <c r="F41" s="311" t="s">
        <v>210</v>
      </c>
      <c r="G41" s="363">
        <v>0</v>
      </c>
      <c r="H41" s="363">
        <v>0</v>
      </c>
      <c r="I41" s="363">
        <v>0</v>
      </c>
      <c r="J41" s="363">
        <v>0</v>
      </c>
      <c r="K41" s="363">
        <v>0</v>
      </c>
      <c r="L41" s="363">
        <v>0</v>
      </c>
      <c r="M41" s="363">
        <v>0</v>
      </c>
      <c r="N41" s="363">
        <v>0</v>
      </c>
      <c r="O41" s="363">
        <v>0</v>
      </c>
      <c r="P41" s="363">
        <v>0</v>
      </c>
      <c r="Q41" s="363">
        <v>0</v>
      </c>
      <c r="R41" s="363">
        <v>0</v>
      </c>
      <c r="S41" s="363">
        <v>0</v>
      </c>
      <c r="T41" s="363">
        <v>0</v>
      </c>
      <c r="U41" s="363">
        <v>0</v>
      </c>
      <c r="V41" s="363">
        <v>0</v>
      </c>
      <c r="W41" s="363">
        <v>0</v>
      </c>
      <c r="X41" s="363">
        <v>0</v>
      </c>
      <c r="Y41" s="363">
        <v>0</v>
      </c>
      <c r="Z41" s="363">
        <v>0</v>
      </c>
      <c r="AA41" s="363">
        <v>0</v>
      </c>
      <c r="AB41" s="363">
        <v>0</v>
      </c>
      <c r="AC41" s="363">
        <v>0</v>
      </c>
      <c r="AD41" s="363">
        <v>0</v>
      </c>
      <c r="AE41" s="363">
        <v>0</v>
      </c>
      <c r="AF41" s="363">
        <v>0</v>
      </c>
      <c r="AG41" s="363">
        <v>0</v>
      </c>
      <c r="AH41" s="363">
        <v>0</v>
      </c>
      <c r="AI41" s="363">
        <v>0</v>
      </c>
      <c r="AJ41" s="363">
        <v>0</v>
      </c>
      <c r="AK41" s="363">
        <v>530.33059200000002</v>
      </c>
      <c r="AL41" s="363">
        <v>0</v>
      </c>
      <c r="AM41" s="363">
        <v>0</v>
      </c>
      <c r="AN41" s="364">
        <v>0</v>
      </c>
      <c r="AO41" s="363">
        <v>591.31644800000004</v>
      </c>
      <c r="AP41" s="363">
        <v>0</v>
      </c>
      <c r="AQ41" s="363">
        <v>0</v>
      </c>
      <c r="AR41" s="363">
        <v>328.01588700000002</v>
      </c>
      <c r="AS41" s="363">
        <v>0</v>
      </c>
      <c r="AT41" s="363">
        <v>0</v>
      </c>
      <c r="AU41" s="363">
        <v>0</v>
      </c>
      <c r="AV41" s="363">
        <v>0</v>
      </c>
      <c r="AW41" s="363">
        <v>0</v>
      </c>
      <c r="AX41" s="363">
        <v>0</v>
      </c>
      <c r="AY41" s="363">
        <v>0</v>
      </c>
      <c r="AZ41" s="363">
        <v>0</v>
      </c>
      <c r="BA41" s="363">
        <v>0</v>
      </c>
      <c r="BB41" s="363">
        <v>0</v>
      </c>
      <c r="BC41" s="363">
        <v>0</v>
      </c>
      <c r="BD41" s="363">
        <v>0</v>
      </c>
      <c r="BE41" s="363"/>
      <c r="BF41" s="363"/>
      <c r="BG41" s="363"/>
      <c r="BH41" s="363"/>
      <c r="BI41" s="363"/>
      <c r="BJ41" s="363"/>
      <c r="BK41" s="363"/>
      <c r="BL41" s="363"/>
      <c r="BM41" s="363"/>
      <c r="BN41" s="363"/>
      <c r="BO41" s="363"/>
      <c r="BP41" s="363">
        <v>0</v>
      </c>
      <c r="BQ41" s="363">
        <v>0</v>
      </c>
      <c r="BR41" s="363">
        <v>0</v>
      </c>
      <c r="BS41" s="363">
        <v>0</v>
      </c>
      <c r="BT41" s="363">
        <v>0</v>
      </c>
      <c r="BU41" s="363">
        <v>0</v>
      </c>
      <c r="BV41" s="363">
        <v>0</v>
      </c>
      <c r="BW41" s="363">
        <v>0</v>
      </c>
      <c r="BX41" s="363">
        <v>0</v>
      </c>
      <c r="BY41" s="363">
        <v>0</v>
      </c>
      <c r="BZ41" s="363">
        <v>0</v>
      </c>
      <c r="CA41" s="363">
        <v>0</v>
      </c>
      <c r="CB41" s="363">
        <v>0</v>
      </c>
      <c r="CC41" s="363">
        <v>0</v>
      </c>
      <c r="CD41" s="363">
        <v>0</v>
      </c>
      <c r="CE41" s="363">
        <v>0</v>
      </c>
      <c r="CF41" s="363">
        <v>0</v>
      </c>
      <c r="CG41" s="363">
        <v>0</v>
      </c>
      <c r="CH41" s="363">
        <v>0</v>
      </c>
      <c r="CI41" s="363">
        <v>0</v>
      </c>
      <c r="CJ41" s="363">
        <v>0</v>
      </c>
      <c r="CK41" s="363">
        <v>0</v>
      </c>
      <c r="CL41" s="363">
        <v>0</v>
      </c>
      <c r="CM41" s="363"/>
      <c r="CN41" s="363"/>
      <c r="CO41" s="363"/>
      <c r="CP41" s="363"/>
      <c r="CQ41" s="363"/>
      <c r="CR41" s="363"/>
      <c r="CS41" s="363"/>
      <c r="CT41" s="363"/>
      <c r="CU41" s="363"/>
      <c r="CV41" s="363"/>
      <c r="CW41" s="363"/>
      <c r="CX41" s="363"/>
      <c r="CY41" s="363"/>
      <c r="CZ41" s="363"/>
      <c r="DA41" s="363"/>
      <c r="DB41" s="363"/>
      <c r="DC41" s="363"/>
      <c r="DD41" s="363"/>
      <c r="DE41" s="363"/>
      <c r="DF41" s="363"/>
      <c r="DG41" s="363"/>
      <c r="DH41" s="363"/>
      <c r="DI41" s="363"/>
      <c r="DJ41" s="363"/>
      <c r="DK41" s="363"/>
      <c r="DL41" s="363"/>
      <c r="DM41" s="363"/>
      <c r="DN41" s="363"/>
      <c r="DO41" s="363"/>
      <c r="DP41" s="363"/>
      <c r="DQ41" s="363"/>
      <c r="DR41" s="363"/>
      <c r="DS41" s="363"/>
      <c r="DT41" s="363"/>
      <c r="DU41" s="363"/>
      <c r="DV41" s="363"/>
      <c r="DW41" s="544">
        <f t="shared" si="15"/>
        <v>1449.6629270000001</v>
      </c>
      <c r="DX41" s="858"/>
      <c r="DY41" s="705"/>
      <c r="DZ41" s="871"/>
      <c r="EA41" s="873"/>
      <c r="EB41" s="859"/>
      <c r="EC41" s="859"/>
      <c r="ED41" s="859"/>
      <c r="EE41" s="859"/>
      <c r="EF41" s="861"/>
      <c r="EG41" s="1106"/>
      <c r="EI41" s="858"/>
      <c r="EJ41" s="877"/>
      <c r="ER41" s="497"/>
    </row>
    <row r="42" spans="1:148" s="278" customFormat="1" ht="21" customHeight="1" outlineLevel="2" thickBot="1" x14ac:dyDescent="0.25">
      <c r="A42" s="894"/>
      <c r="B42" s="887"/>
      <c r="C42" s="904"/>
      <c r="D42" s="865"/>
      <c r="E42" s="868"/>
      <c r="F42" s="315" t="s">
        <v>211</v>
      </c>
      <c r="G42" s="364">
        <v>0</v>
      </c>
      <c r="H42" s="364">
        <v>0</v>
      </c>
      <c r="I42" s="364">
        <v>0</v>
      </c>
      <c r="J42" s="364">
        <v>0</v>
      </c>
      <c r="K42" s="364">
        <v>0</v>
      </c>
      <c r="L42" s="364">
        <v>0</v>
      </c>
      <c r="M42" s="364">
        <v>0</v>
      </c>
      <c r="N42" s="364">
        <v>0</v>
      </c>
      <c r="O42" s="364">
        <v>0</v>
      </c>
      <c r="P42" s="364">
        <v>0</v>
      </c>
      <c r="Q42" s="364">
        <v>0</v>
      </c>
      <c r="R42" s="364">
        <v>0</v>
      </c>
      <c r="S42" s="364">
        <v>0</v>
      </c>
      <c r="T42" s="364">
        <v>0</v>
      </c>
      <c r="U42" s="364">
        <v>0</v>
      </c>
      <c r="V42" s="364">
        <v>0</v>
      </c>
      <c r="W42" s="364">
        <v>0</v>
      </c>
      <c r="X42" s="364">
        <v>0</v>
      </c>
      <c r="Y42" s="364">
        <v>0</v>
      </c>
      <c r="Z42" s="364">
        <v>0</v>
      </c>
      <c r="AA42" s="364">
        <v>0</v>
      </c>
      <c r="AB42" s="364">
        <v>0</v>
      </c>
      <c r="AC42" s="364">
        <v>0</v>
      </c>
      <c r="AD42" s="364">
        <v>0</v>
      </c>
      <c r="AE42" s="364">
        <v>0</v>
      </c>
      <c r="AF42" s="364">
        <v>0</v>
      </c>
      <c r="AG42" s="364">
        <v>0</v>
      </c>
      <c r="AH42" s="364">
        <v>864</v>
      </c>
      <c r="AI42" s="364"/>
      <c r="AJ42" s="364">
        <v>0</v>
      </c>
      <c r="AK42" s="364">
        <v>0</v>
      </c>
      <c r="AL42" s="364">
        <v>905.42145400000004</v>
      </c>
      <c r="AM42" s="364">
        <v>0</v>
      </c>
      <c r="AN42" s="364">
        <v>709.42089699999997</v>
      </c>
      <c r="AO42" s="364">
        <v>0</v>
      </c>
      <c r="AP42" s="363">
        <v>391.49472200000002</v>
      </c>
      <c r="AQ42" s="364">
        <v>0</v>
      </c>
      <c r="AR42" s="364">
        <v>0</v>
      </c>
      <c r="AS42" s="364">
        <v>0</v>
      </c>
      <c r="AT42" s="364">
        <v>0</v>
      </c>
      <c r="AU42" s="364">
        <v>0</v>
      </c>
      <c r="AV42" s="364">
        <v>0</v>
      </c>
      <c r="AW42" s="364">
        <v>0</v>
      </c>
      <c r="AX42" s="364">
        <v>0</v>
      </c>
      <c r="AY42" s="364">
        <v>0</v>
      </c>
      <c r="AZ42" s="364">
        <v>0</v>
      </c>
      <c r="BA42" s="364">
        <v>0</v>
      </c>
      <c r="BB42" s="364">
        <v>0</v>
      </c>
      <c r="BC42" s="364">
        <v>0</v>
      </c>
      <c r="BD42" s="364">
        <v>0</v>
      </c>
      <c r="BE42" s="364"/>
      <c r="BF42" s="364"/>
      <c r="BG42" s="364"/>
      <c r="BH42" s="364"/>
      <c r="BI42" s="364"/>
      <c r="BJ42" s="364"/>
      <c r="BK42" s="364"/>
      <c r="BL42" s="364"/>
      <c r="BM42" s="364"/>
      <c r="BN42" s="364"/>
      <c r="BO42" s="364"/>
      <c r="BP42" s="364">
        <v>0</v>
      </c>
      <c r="BQ42" s="364">
        <v>0</v>
      </c>
      <c r="BR42" s="364">
        <v>0</v>
      </c>
      <c r="BS42" s="364">
        <v>0</v>
      </c>
      <c r="BT42" s="364">
        <v>0</v>
      </c>
      <c r="BU42" s="364">
        <v>0</v>
      </c>
      <c r="BV42" s="364">
        <v>0</v>
      </c>
      <c r="BW42" s="364">
        <v>0</v>
      </c>
      <c r="BX42" s="364">
        <v>0</v>
      </c>
      <c r="BY42" s="364">
        <v>0</v>
      </c>
      <c r="BZ42" s="364">
        <v>0</v>
      </c>
      <c r="CA42" s="364">
        <v>0</v>
      </c>
      <c r="CB42" s="364">
        <v>0</v>
      </c>
      <c r="CC42" s="364">
        <v>0</v>
      </c>
      <c r="CD42" s="364">
        <v>0</v>
      </c>
      <c r="CE42" s="364">
        <v>0</v>
      </c>
      <c r="CF42" s="364">
        <v>0</v>
      </c>
      <c r="CG42" s="364">
        <v>0</v>
      </c>
      <c r="CH42" s="364">
        <v>0</v>
      </c>
      <c r="CI42" s="364">
        <v>0</v>
      </c>
      <c r="CJ42" s="364">
        <v>0</v>
      </c>
      <c r="CK42" s="364">
        <v>0</v>
      </c>
      <c r="CL42" s="364">
        <v>0</v>
      </c>
      <c r="CM42" s="364"/>
      <c r="CN42" s="364"/>
      <c r="CO42" s="364"/>
      <c r="CP42" s="364"/>
      <c r="CQ42" s="364"/>
      <c r="CR42" s="364"/>
      <c r="CS42" s="364"/>
      <c r="CT42" s="364"/>
      <c r="CU42" s="364"/>
      <c r="CV42" s="364"/>
      <c r="CW42" s="364"/>
      <c r="CX42" s="364"/>
      <c r="CY42" s="364"/>
      <c r="CZ42" s="364"/>
      <c r="DA42" s="364"/>
      <c r="DB42" s="364"/>
      <c r="DC42" s="364"/>
      <c r="DD42" s="364"/>
      <c r="DE42" s="364"/>
      <c r="DF42" s="364"/>
      <c r="DG42" s="364"/>
      <c r="DH42" s="364"/>
      <c r="DI42" s="364"/>
      <c r="DJ42" s="364"/>
      <c r="DK42" s="364"/>
      <c r="DL42" s="364"/>
      <c r="DM42" s="364"/>
      <c r="DN42" s="364"/>
      <c r="DO42" s="364"/>
      <c r="DP42" s="364"/>
      <c r="DQ42" s="364"/>
      <c r="DR42" s="364"/>
      <c r="DS42" s="364"/>
      <c r="DT42" s="364"/>
      <c r="DU42" s="364"/>
      <c r="DV42" s="364"/>
      <c r="DW42" s="649">
        <f t="shared" si="15"/>
        <v>2870.3370730000001</v>
      </c>
      <c r="DX42" s="858"/>
      <c r="DY42" s="706"/>
      <c r="DZ42" s="872"/>
      <c r="EA42" s="873"/>
      <c r="EB42" s="859"/>
      <c r="EC42" s="859"/>
      <c r="ED42" s="859"/>
      <c r="EE42" s="859"/>
      <c r="EF42" s="861"/>
      <c r="EG42" s="1107"/>
      <c r="EI42" s="858"/>
      <c r="EJ42" s="877"/>
      <c r="ER42" s="497"/>
    </row>
    <row r="43" spans="1:148" s="278" customFormat="1" ht="24" outlineLevel="2" x14ac:dyDescent="0.2">
      <c r="A43" s="892" t="s">
        <v>374</v>
      </c>
      <c r="B43" s="897" t="s">
        <v>157</v>
      </c>
      <c r="C43" s="902"/>
      <c r="D43" s="863">
        <f>+'Detalle Plan de Adquisiciones'!L95</f>
        <v>212415952</v>
      </c>
      <c r="E43" s="866" t="s">
        <v>130</v>
      </c>
      <c r="F43" s="312" t="s">
        <v>410</v>
      </c>
      <c r="G43" s="354">
        <v>0</v>
      </c>
      <c r="H43" s="354">
        <v>0</v>
      </c>
      <c r="I43" s="354">
        <v>0</v>
      </c>
      <c r="J43" s="354">
        <v>0</v>
      </c>
      <c r="K43" s="354">
        <v>0</v>
      </c>
      <c r="L43" s="354">
        <v>0</v>
      </c>
      <c r="M43" s="354">
        <v>0</v>
      </c>
      <c r="N43" s="354">
        <v>0</v>
      </c>
      <c r="O43" s="354">
        <v>0</v>
      </c>
      <c r="P43" s="354">
        <v>0</v>
      </c>
      <c r="Q43" s="354">
        <v>0</v>
      </c>
      <c r="R43" s="354">
        <v>0</v>
      </c>
      <c r="S43" s="354">
        <v>0</v>
      </c>
      <c r="T43" s="354">
        <v>0</v>
      </c>
      <c r="U43" s="354">
        <v>0</v>
      </c>
      <c r="V43" s="354">
        <v>0</v>
      </c>
      <c r="W43" s="354">
        <v>0</v>
      </c>
      <c r="X43" s="354">
        <v>0</v>
      </c>
      <c r="Y43" s="354">
        <v>0</v>
      </c>
      <c r="Z43" s="354">
        <v>0</v>
      </c>
      <c r="AA43" s="354">
        <v>0</v>
      </c>
      <c r="AB43" s="354">
        <v>0</v>
      </c>
      <c r="AC43" s="354">
        <v>0</v>
      </c>
      <c r="AD43" s="354">
        <v>0</v>
      </c>
      <c r="AE43" s="354">
        <v>0</v>
      </c>
      <c r="AF43" s="354">
        <v>0</v>
      </c>
      <c r="AG43" s="354">
        <v>0</v>
      </c>
      <c r="AH43" s="354">
        <v>0</v>
      </c>
      <c r="AI43" s="354">
        <v>0</v>
      </c>
      <c r="AJ43" s="354">
        <v>0</v>
      </c>
      <c r="AK43" s="354">
        <v>0</v>
      </c>
      <c r="AL43" s="354">
        <v>0</v>
      </c>
      <c r="AM43" s="354">
        <v>0</v>
      </c>
      <c r="AN43" s="354">
        <v>0</v>
      </c>
      <c r="AO43" s="354">
        <v>0</v>
      </c>
      <c r="AP43" s="354">
        <v>0</v>
      </c>
      <c r="AQ43" s="354">
        <v>0</v>
      </c>
      <c r="AR43" s="354">
        <v>0</v>
      </c>
      <c r="AS43" s="354">
        <v>0</v>
      </c>
      <c r="AT43" s="354">
        <v>0</v>
      </c>
      <c r="AU43" s="354">
        <v>0</v>
      </c>
      <c r="AV43" s="354">
        <v>0</v>
      </c>
      <c r="AW43" s="354">
        <v>0</v>
      </c>
      <c r="AX43" s="354">
        <v>0</v>
      </c>
      <c r="AY43" s="354">
        <v>0</v>
      </c>
      <c r="AZ43" s="354">
        <v>0</v>
      </c>
      <c r="BA43" s="354">
        <v>0</v>
      </c>
      <c r="BB43" s="354">
        <v>0</v>
      </c>
      <c r="BC43" s="354">
        <v>0</v>
      </c>
      <c r="BD43" s="354">
        <v>0</v>
      </c>
      <c r="BE43" s="354">
        <v>0</v>
      </c>
      <c r="BF43" s="354">
        <v>0</v>
      </c>
      <c r="BG43" s="354">
        <v>0</v>
      </c>
      <c r="BH43" s="354">
        <v>0</v>
      </c>
      <c r="BI43" s="354">
        <v>0</v>
      </c>
      <c r="BJ43" s="354">
        <v>0</v>
      </c>
      <c r="BK43" s="354">
        <v>0</v>
      </c>
      <c r="BL43" s="354">
        <v>0</v>
      </c>
      <c r="BM43" s="354">
        <v>0</v>
      </c>
      <c r="BN43" s="354">
        <v>0</v>
      </c>
      <c r="BO43" s="354">
        <v>0</v>
      </c>
      <c r="BP43" s="354">
        <v>0</v>
      </c>
      <c r="BQ43" s="354">
        <v>0</v>
      </c>
      <c r="BR43" s="354">
        <v>0</v>
      </c>
      <c r="BS43" s="354">
        <v>0</v>
      </c>
      <c r="BT43" s="354">
        <v>0</v>
      </c>
      <c r="BU43" s="354">
        <v>0</v>
      </c>
      <c r="BV43" s="354">
        <v>0</v>
      </c>
      <c r="BW43" s="354">
        <v>0</v>
      </c>
      <c r="BX43" s="354">
        <v>0</v>
      </c>
      <c r="BY43" s="354">
        <v>0</v>
      </c>
      <c r="BZ43" s="354">
        <v>0</v>
      </c>
      <c r="CA43" s="560">
        <v>0</v>
      </c>
      <c r="CB43" s="560">
        <v>0</v>
      </c>
      <c r="CC43" s="560">
        <v>0</v>
      </c>
      <c r="CD43" s="560">
        <v>0</v>
      </c>
      <c r="CE43" s="560">
        <v>0</v>
      </c>
      <c r="CF43" s="560">
        <v>0</v>
      </c>
      <c r="CG43" s="560">
        <v>0</v>
      </c>
      <c r="CH43" s="560">
        <v>0</v>
      </c>
      <c r="CI43" s="560">
        <v>0</v>
      </c>
      <c r="CJ43" s="560">
        <v>0</v>
      </c>
      <c r="CK43" s="560">
        <v>0</v>
      </c>
      <c r="CL43" s="560">
        <v>0</v>
      </c>
      <c r="CM43" s="354"/>
      <c r="CN43" s="354"/>
      <c r="CO43" s="354"/>
      <c r="CP43" s="354"/>
      <c r="CQ43" s="354"/>
      <c r="CR43" s="354"/>
      <c r="CS43" s="354"/>
      <c r="CT43" s="354"/>
      <c r="CU43" s="354"/>
      <c r="CV43" s="354"/>
      <c r="CW43" s="354"/>
      <c r="CX43" s="354"/>
      <c r="CY43" s="354"/>
      <c r="CZ43" s="354"/>
      <c r="DA43" s="354"/>
      <c r="DB43" s="354"/>
      <c r="DC43" s="354"/>
      <c r="DD43" s="354"/>
      <c r="DE43" s="354"/>
      <c r="DF43" s="354"/>
      <c r="DG43" s="354"/>
      <c r="DH43" s="354"/>
      <c r="DI43" s="354"/>
      <c r="DJ43" s="354"/>
      <c r="DK43" s="354"/>
      <c r="DL43" s="354"/>
      <c r="DM43" s="354"/>
      <c r="DN43" s="354"/>
      <c r="DO43" s="354"/>
      <c r="DP43" s="354"/>
      <c r="DQ43" s="354"/>
      <c r="DR43" s="354"/>
      <c r="DS43" s="354"/>
      <c r="DT43" s="354"/>
      <c r="DU43" s="354"/>
      <c r="DV43" s="354"/>
      <c r="DW43" s="543">
        <f>SUM(G43:DV43)</f>
        <v>0</v>
      </c>
      <c r="DX43" s="858">
        <f>DW43+DW44+DW45</f>
        <v>212.41595200000003</v>
      </c>
      <c r="DY43" s="704">
        <f>+DX43*1000000</f>
        <v>212415952.00000003</v>
      </c>
      <c r="DZ43" s="870">
        <f>+DY43-D43</f>
        <v>0</v>
      </c>
      <c r="EA43" s="873" t="str">
        <f>VLOOKUP(POA!$B43,'Detalle Plan de Adquisiciones'!$G$6:$AF$66,23,0)</f>
        <v>N/A</v>
      </c>
      <c r="EB43" s="859">
        <f>VLOOKUP(POA!$B43,'Detalle Plan de Adquisiciones'!$G$6:$AF$66,25,0)</f>
        <v>40962</v>
      </c>
      <c r="EC43" s="859">
        <f>EB43+30</f>
        <v>40992</v>
      </c>
      <c r="ED43" s="859" t="e">
        <f>CONCATENATE(MONTH(EA43),"-",YEAR(EA43))</f>
        <v>#VALUE!</v>
      </c>
      <c r="EE43" s="859" t="str">
        <f>CONCATENATE(MONTH(EB43),"-",YEAR(EB43))</f>
        <v>2-2012</v>
      </c>
      <c r="EF43" s="861" t="str">
        <f>CONCATENATE(MONTH(EC43),"-",YEAR(EC43))</f>
        <v>3-2012</v>
      </c>
      <c r="EG43" s="1105" t="e">
        <f>+YEAR(EA43)</f>
        <v>#VALUE!</v>
      </c>
      <c r="EH43" s="393">
        <f>+DY43</f>
        <v>212415952.00000003</v>
      </c>
      <c r="EI43" s="858">
        <f>+DW43+DW44+DW45</f>
        <v>212.41595200000003</v>
      </c>
      <c r="EJ43" s="877">
        <f>+D43/1000000-EI43</f>
        <v>0</v>
      </c>
      <c r="ER43" s="497"/>
    </row>
    <row r="44" spans="1:148" s="278" customFormat="1" outlineLevel="2" x14ac:dyDescent="0.2">
      <c r="A44" s="893"/>
      <c r="B44" s="886"/>
      <c r="C44" s="903"/>
      <c r="D44" s="864"/>
      <c r="E44" s="867"/>
      <c r="F44" s="311" t="s">
        <v>210</v>
      </c>
      <c r="G44" s="363">
        <v>0</v>
      </c>
      <c r="H44" s="363">
        <v>0</v>
      </c>
      <c r="I44" s="363">
        <v>0</v>
      </c>
      <c r="J44" s="363">
        <v>0</v>
      </c>
      <c r="K44" s="363">
        <v>0</v>
      </c>
      <c r="L44" s="363">
        <v>0</v>
      </c>
      <c r="M44" s="363">
        <v>0</v>
      </c>
      <c r="N44" s="363">
        <v>0</v>
      </c>
      <c r="O44" s="363">
        <v>0</v>
      </c>
      <c r="P44" s="363">
        <v>0</v>
      </c>
      <c r="Q44" s="363">
        <v>0</v>
      </c>
      <c r="R44" s="363">
        <v>0</v>
      </c>
      <c r="S44" s="363">
        <v>0</v>
      </c>
      <c r="T44" s="363">
        <v>0</v>
      </c>
      <c r="U44" s="363">
        <v>0</v>
      </c>
      <c r="V44" s="363">
        <v>0</v>
      </c>
      <c r="W44" s="363">
        <v>0</v>
      </c>
      <c r="X44" s="363">
        <v>0</v>
      </c>
      <c r="Y44" s="363">
        <v>0</v>
      </c>
      <c r="Z44" s="363">
        <v>0</v>
      </c>
      <c r="AA44" s="363">
        <v>0</v>
      </c>
      <c r="AB44" s="363">
        <v>0</v>
      </c>
      <c r="AC44" s="363">
        <v>0</v>
      </c>
      <c r="AD44" s="363">
        <v>0</v>
      </c>
      <c r="AE44" s="363">
        <v>0</v>
      </c>
      <c r="AF44" s="363">
        <v>0</v>
      </c>
      <c r="AG44" s="363">
        <v>0</v>
      </c>
      <c r="AH44" s="363">
        <v>0</v>
      </c>
      <c r="AI44" s="363">
        <v>0</v>
      </c>
      <c r="AJ44" s="363">
        <v>0</v>
      </c>
      <c r="AK44" s="363">
        <v>0</v>
      </c>
      <c r="AL44" s="363">
        <v>0</v>
      </c>
      <c r="AM44" s="363">
        <v>0</v>
      </c>
      <c r="AN44" s="363">
        <v>0</v>
      </c>
      <c r="AO44" s="363">
        <v>0</v>
      </c>
      <c r="AP44" s="363">
        <v>0</v>
      </c>
      <c r="AQ44" s="363">
        <v>0</v>
      </c>
      <c r="AR44" s="363">
        <v>0</v>
      </c>
      <c r="AS44" s="363">
        <v>0</v>
      </c>
      <c r="AT44" s="363">
        <v>0</v>
      </c>
      <c r="AU44" s="363">
        <v>0</v>
      </c>
      <c r="AV44" s="363">
        <v>0</v>
      </c>
      <c r="AW44" s="363">
        <v>0</v>
      </c>
      <c r="AX44" s="363">
        <v>0</v>
      </c>
      <c r="AY44" s="363">
        <v>0</v>
      </c>
      <c r="AZ44" s="363">
        <v>0</v>
      </c>
      <c r="BA44" s="363">
        <v>0</v>
      </c>
      <c r="BB44" s="363">
        <v>0</v>
      </c>
      <c r="BC44" s="363">
        <v>0</v>
      </c>
      <c r="BD44" s="363">
        <v>0</v>
      </c>
      <c r="BE44" s="363">
        <v>0</v>
      </c>
      <c r="BF44" s="363">
        <v>0</v>
      </c>
      <c r="BG44" s="363">
        <v>0</v>
      </c>
      <c r="BH44" s="363">
        <v>0</v>
      </c>
      <c r="BI44" s="363">
        <v>0</v>
      </c>
      <c r="BJ44" s="363">
        <v>0</v>
      </c>
      <c r="BK44" s="363">
        <v>0</v>
      </c>
      <c r="BL44" s="363">
        <v>0</v>
      </c>
      <c r="BM44" s="363">
        <v>0</v>
      </c>
      <c r="BN44" s="363">
        <v>0</v>
      </c>
      <c r="BO44" s="363">
        <v>0</v>
      </c>
      <c r="BP44" s="363">
        <v>0</v>
      </c>
      <c r="BQ44" s="363">
        <v>0</v>
      </c>
      <c r="BR44" s="363">
        <v>0</v>
      </c>
      <c r="BS44" s="363">
        <v>0</v>
      </c>
      <c r="BT44" s="363">
        <v>0</v>
      </c>
      <c r="BU44" s="363">
        <v>0</v>
      </c>
      <c r="BV44" s="363">
        <v>0</v>
      </c>
      <c r="BW44" s="363">
        <v>0</v>
      </c>
      <c r="BX44" s="363">
        <v>0</v>
      </c>
      <c r="BY44" s="363">
        <v>0</v>
      </c>
      <c r="BZ44" s="363">
        <v>0</v>
      </c>
      <c r="CA44" s="363">
        <v>0</v>
      </c>
      <c r="CB44" s="363">
        <v>0</v>
      </c>
      <c r="CC44" s="363">
        <v>0</v>
      </c>
      <c r="CD44" s="363">
        <v>0</v>
      </c>
      <c r="CE44" s="363">
        <v>0</v>
      </c>
      <c r="CF44" s="363">
        <v>0</v>
      </c>
      <c r="CG44" s="363">
        <v>0</v>
      </c>
      <c r="CH44" s="363">
        <v>0</v>
      </c>
      <c r="CI44" s="363">
        <v>0</v>
      </c>
      <c r="CJ44" s="363">
        <v>0</v>
      </c>
      <c r="CK44" s="363">
        <v>0</v>
      </c>
      <c r="CL44" s="363">
        <v>0</v>
      </c>
      <c r="CM44" s="363"/>
      <c r="CN44" s="363"/>
      <c r="CO44" s="363"/>
      <c r="CP44" s="363"/>
      <c r="CQ44" s="363"/>
      <c r="CR44" s="363"/>
      <c r="CS44" s="363"/>
      <c r="CT44" s="363"/>
      <c r="CU44" s="363"/>
      <c r="CV44" s="363"/>
      <c r="CW44" s="363"/>
      <c r="CX44" s="363"/>
      <c r="CY44" s="363"/>
      <c r="CZ44" s="363"/>
      <c r="DA44" s="363"/>
      <c r="DB44" s="363"/>
      <c r="DC44" s="363"/>
      <c r="DD44" s="363"/>
      <c r="DE44" s="363"/>
      <c r="DF44" s="363"/>
      <c r="DG44" s="363"/>
      <c r="DH44" s="363"/>
      <c r="DI44" s="363"/>
      <c r="DJ44" s="363"/>
      <c r="DK44" s="363"/>
      <c r="DL44" s="363"/>
      <c r="DM44" s="363"/>
      <c r="DN44" s="363"/>
      <c r="DO44" s="363"/>
      <c r="DP44" s="363"/>
      <c r="DQ44" s="363"/>
      <c r="DR44" s="363"/>
      <c r="DS44" s="363"/>
      <c r="DT44" s="363"/>
      <c r="DU44" s="363"/>
      <c r="DV44" s="363"/>
      <c r="DW44" s="544">
        <f t="shared" si="15"/>
        <v>0</v>
      </c>
      <c r="DX44" s="858"/>
      <c r="DY44" s="705"/>
      <c r="DZ44" s="871"/>
      <c r="EA44" s="873"/>
      <c r="EB44" s="859"/>
      <c r="EC44" s="859"/>
      <c r="ED44" s="859"/>
      <c r="EE44" s="859"/>
      <c r="EF44" s="861"/>
      <c r="EG44" s="1106"/>
      <c r="EI44" s="858"/>
      <c r="EJ44" s="877"/>
      <c r="ER44" s="497"/>
    </row>
    <row r="45" spans="1:148" s="278" customFormat="1" ht="12.75" outlineLevel="2" thickBot="1" x14ac:dyDescent="0.25">
      <c r="A45" s="894"/>
      <c r="B45" s="887"/>
      <c r="C45" s="904"/>
      <c r="D45" s="865"/>
      <c r="E45" s="868"/>
      <c r="F45" s="315" t="s">
        <v>211</v>
      </c>
      <c r="G45" s="364">
        <v>0</v>
      </c>
      <c r="H45" s="364">
        <v>0</v>
      </c>
      <c r="I45" s="364">
        <v>0</v>
      </c>
      <c r="J45" s="364">
        <v>0</v>
      </c>
      <c r="K45" s="364">
        <v>0</v>
      </c>
      <c r="L45" s="364">
        <v>0</v>
      </c>
      <c r="M45" s="364">
        <v>0</v>
      </c>
      <c r="N45" s="364">
        <v>0</v>
      </c>
      <c r="O45" s="364">
        <v>0</v>
      </c>
      <c r="P45" s="364">
        <v>0</v>
      </c>
      <c r="Q45" s="364">
        <v>0</v>
      </c>
      <c r="R45" s="364">
        <v>0</v>
      </c>
      <c r="S45" s="364">
        <v>0</v>
      </c>
      <c r="T45" s="364">
        <v>0</v>
      </c>
      <c r="U45" s="364">
        <v>0</v>
      </c>
      <c r="V45" s="364">
        <v>0</v>
      </c>
      <c r="W45" s="364">
        <v>0</v>
      </c>
      <c r="X45" s="364">
        <v>0</v>
      </c>
      <c r="Y45" s="364">
        <v>0</v>
      </c>
      <c r="Z45" s="364">
        <v>30.345136</v>
      </c>
      <c r="AA45" s="364">
        <v>18.207080999999999</v>
      </c>
      <c r="AB45" s="364">
        <v>24.276109000000002</v>
      </c>
      <c r="AC45" s="364">
        <v>48.552218000000003</v>
      </c>
      <c r="AD45" s="364">
        <v>48.552218000000003</v>
      </c>
      <c r="AE45" s="364">
        <v>0</v>
      </c>
      <c r="AF45" s="364"/>
      <c r="AG45" s="364">
        <v>0</v>
      </c>
      <c r="AH45" s="364">
        <v>0</v>
      </c>
      <c r="AI45" s="364">
        <v>0</v>
      </c>
      <c r="AJ45" s="364">
        <v>0</v>
      </c>
      <c r="AK45" s="364">
        <v>0</v>
      </c>
      <c r="AL45" s="364">
        <v>0</v>
      </c>
      <c r="AM45" s="364">
        <v>0</v>
      </c>
      <c r="AN45" s="364">
        <v>0</v>
      </c>
      <c r="AO45" s="364">
        <v>42.48319</v>
      </c>
      <c r="AP45" s="364">
        <v>0</v>
      </c>
      <c r="AQ45" s="364">
        <v>0</v>
      </c>
      <c r="AR45" s="364">
        <v>0</v>
      </c>
      <c r="AS45" s="364">
        <v>0</v>
      </c>
      <c r="AT45" s="364">
        <v>0</v>
      </c>
      <c r="AU45" s="364">
        <v>0</v>
      </c>
      <c r="AV45" s="364">
        <v>0</v>
      </c>
      <c r="AW45" s="364">
        <v>0</v>
      </c>
      <c r="AX45" s="364">
        <v>0</v>
      </c>
      <c r="AY45" s="364">
        <v>0</v>
      </c>
      <c r="AZ45" s="364">
        <v>0</v>
      </c>
      <c r="BA45" s="364">
        <v>0</v>
      </c>
      <c r="BB45" s="364">
        <v>0</v>
      </c>
      <c r="BC45" s="364">
        <v>0</v>
      </c>
      <c r="BD45" s="364">
        <v>0</v>
      </c>
      <c r="BE45" s="364">
        <v>0</v>
      </c>
      <c r="BF45" s="364">
        <v>0</v>
      </c>
      <c r="BG45" s="364">
        <v>0</v>
      </c>
      <c r="BH45" s="364">
        <v>0</v>
      </c>
      <c r="BI45" s="364">
        <v>0</v>
      </c>
      <c r="BJ45" s="364">
        <v>0</v>
      </c>
      <c r="BK45" s="364">
        <v>0</v>
      </c>
      <c r="BL45" s="364">
        <v>0</v>
      </c>
      <c r="BM45" s="364">
        <v>0</v>
      </c>
      <c r="BN45" s="364">
        <v>0</v>
      </c>
      <c r="BO45" s="364">
        <v>0</v>
      </c>
      <c r="BP45" s="364">
        <v>0</v>
      </c>
      <c r="BQ45" s="364">
        <v>0</v>
      </c>
      <c r="BR45" s="364">
        <v>0</v>
      </c>
      <c r="BS45" s="364">
        <v>0</v>
      </c>
      <c r="BT45" s="364">
        <v>0</v>
      </c>
      <c r="BU45" s="364">
        <v>0</v>
      </c>
      <c r="BV45" s="364">
        <v>0</v>
      </c>
      <c r="BW45" s="364">
        <v>0</v>
      </c>
      <c r="BX45" s="364">
        <v>0</v>
      </c>
      <c r="BY45" s="364">
        <v>0</v>
      </c>
      <c r="BZ45" s="364">
        <v>0</v>
      </c>
      <c r="CA45" s="364">
        <v>0</v>
      </c>
      <c r="CB45" s="364">
        <v>0</v>
      </c>
      <c r="CC45" s="364">
        <v>0</v>
      </c>
      <c r="CD45" s="364">
        <v>0</v>
      </c>
      <c r="CE45" s="364">
        <v>0</v>
      </c>
      <c r="CF45" s="364">
        <v>0</v>
      </c>
      <c r="CG45" s="364">
        <v>0</v>
      </c>
      <c r="CH45" s="364">
        <v>0</v>
      </c>
      <c r="CI45" s="364">
        <v>0</v>
      </c>
      <c r="CJ45" s="364">
        <v>0</v>
      </c>
      <c r="CK45" s="364">
        <v>0</v>
      </c>
      <c r="CL45" s="364">
        <v>0</v>
      </c>
      <c r="CM45" s="364"/>
      <c r="CN45" s="364"/>
      <c r="CO45" s="364"/>
      <c r="CP45" s="364"/>
      <c r="CQ45" s="364"/>
      <c r="CR45" s="364"/>
      <c r="CS45" s="364"/>
      <c r="CT45" s="364"/>
      <c r="CU45" s="364"/>
      <c r="CV45" s="364"/>
      <c r="CW45" s="364"/>
      <c r="CX45" s="364"/>
      <c r="CY45" s="364"/>
      <c r="CZ45" s="364"/>
      <c r="DA45" s="364"/>
      <c r="DB45" s="364"/>
      <c r="DC45" s="364"/>
      <c r="DD45" s="364"/>
      <c r="DE45" s="364"/>
      <c r="DF45" s="364"/>
      <c r="DG45" s="364"/>
      <c r="DH45" s="364"/>
      <c r="DI45" s="364"/>
      <c r="DJ45" s="364"/>
      <c r="DK45" s="364"/>
      <c r="DL45" s="364"/>
      <c r="DM45" s="364"/>
      <c r="DN45" s="364"/>
      <c r="DO45" s="364"/>
      <c r="DP45" s="364"/>
      <c r="DQ45" s="364"/>
      <c r="DR45" s="364"/>
      <c r="DS45" s="364"/>
      <c r="DT45" s="364"/>
      <c r="DU45" s="364"/>
      <c r="DV45" s="364"/>
      <c r="DW45" s="649">
        <f t="shared" si="15"/>
        <v>212.41595200000003</v>
      </c>
      <c r="DX45" s="858"/>
      <c r="DY45" s="706"/>
      <c r="DZ45" s="872"/>
      <c r="EA45" s="873"/>
      <c r="EB45" s="859"/>
      <c r="EC45" s="859"/>
      <c r="ED45" s="859"/>
      <c r="EE45" s="859"/>
      <c r="EF45" s="861"/>
      <c r="EG45" s="1107"/>
      <c r="EI45" s="858"/>
      <c r="EJ45" s="877"/>
      <c r="ER45" s="497"/>
    </row>
    <row r="46" spans="1:148" s="278" customFormat="1" ht="24" outlineLevel="2" x14ac:dyDescent="0.2">
      <c r="A46" s="892" t="s">
        <v>375</v>
      </c>
      <c r="B46" s="897" t="s">
        <v>195</v>
      </c>
      <c r="C46" s="902"/>
      <c r="D46" s="863">
        <f>+'Detalle Plan de Adquisiciones'!L96</f>
        <v>903435760</v>
      </c>
      <c r="E46" s="866" t="s">
        <v>131</v>
      </c>
      <c r="F46" s="312" t="s">
        <v>410</v>
      </c>
      <c r="G46" s="354">
        <v>0</v>
      </c>
      <c r="H46" s="354">
        <v>0</v>
      </c>
      <c r="I46" s="354">
        <v>0</v>
      </c>
      <c r="J46" s="354">
        <v>0</v>
      </c>
      <c r="K46" s="354">
        <v>0</v>
      </c>
      <c r="L46" s="354">
        <v>0</v>
      </c>
      <c r="M46" s="354">
        <v>0</v>
      </c>
      <c r="N46" s="354">
        <v>0</v>
      </c>
      <c r="O46" s="354">
        <v>0</v>
      </c>
      <c r="P46" s="354">
        <v>0</v>
      </c>
      <c r="Q46" s="354">
        <v>0</v>
      </c>
      <c r="R46" s="354">
        <v>0</v>
      </c>
      <c r="S46" s="354">
        <v>0</v>
      </c>
      <c r="T46" s="354">
        <v>0</v>
      </c>
      <c r="U46" s="354">
        <v>0</v>
      </c>
      <c r="V46" s="354">
        <v>0</v>
      </c>
      <c r="W46" s="354">
        <v>0</v>
      </c>
      <c r="X46" s="354">
        <v>0</v>
      </c>
      <c r="Y46" s="354">
        <v>0</v>
      </c>
      <c r="Z46" s="354">
        <v>0</v>
      </c>
      <c r="AA46" s="354">
        <v>0</v>
      </c>
      <c r="AB46" s="354">
        <v>0</v>
      </c>
      <c r="AC46" s="354">
        <v>0</v>
      </c>
      <c r="AD46" s="354">
        <v>0</v>
      </c>
      <c r="AE46" s="354">
        <v>0</v>
      </c>
      <c r="AF46" s="354">
        <v>0</v>
      </c>
      <c r="AG46" s="354">
        <v>0</v>
      </c>
      <c r="AH46" s="354">
        <v>0</v>
      </c>
      <c r="AI46" s="354">
        <v>0</v>
      </c>
      <c r="AJ46" s="354">
        <v>0</v>
      </c>
      <c r="AK46" s="354">
        <v>0</v>
      </c>
      <c r="AL46" s="354">
        <v>0</v>
      </c>
      <c r="AM46" s="354">
        <v>0</v>
      </c>
      <c r="AN46" s="354">
        <v>0</v>
      </c>
      <c r="AO46" s="354">
        <v>0</v>
      </c>
      <c r="AP46" s="354">
        <v>0</v>
      </c>
      <c r="AQ46" s="354">
        <v>0</v>
      </c>
      <c r="AR46" s="354">
        <v>0</v>
      </c>
      <c r="AS46" s="354">
        <v>0</v>
      </c>
      <c r="AT46" s="354">
        <v>0</v>
      </c>
      <c r="AU46" s="354">
        <v>0</v>
      </c>
      <c r="AV46" s="354">
        <v>0</v>
      </c>
      <c r="AW46" s="354">
        <v>0</v>
      </c>
      <c r="AX46" s="354">
        <v>0</v>
      </c>
      <c r="AY46" s="354">
        <v>0</v>
      </c>
      <c r="AZ46" s="354">
        <v>0</v>
      </c>
      <c r="BA46" s="354">
        <v>0</v>
      </c>
      <c r="BB46" s="354">
        <v>0</v>
      </c>
      <c r="BC46" s="354">
        <v>0</v>
      </c>
      <c r="BD46" s="354">
        <v>0</v>
      </c>
      <c r="BE46" s="354">
        <v>0</v>
      </c>
      <c r="BF46" s="354">
        <v>0</v>
      </c>
      <c r="BG46" s="354">
        <v>0</v>
      </c>
      <c r="BH46" s="354">
        <v>0</v>
      </c>
      <c r="BI46" s="354">
        <v>0</v>
      </c>
      <c r="BJ46" s="354">
        <v>0</v>
      </c>
      <c r="BK46" s="354">
        <v>0</v>
      </c>
      <c r="BL46" s="354">
        <v>0</v>
      </c>
      <c r="BM46" s="354">
        <v>0</v>
      </c>
      <c r="BN46" s="354">
        <v>0</v>
      </c>
      <c r="BO46" s="354">
        <v>0</v>
      </c>
      <c r="BP46" s="354">
        <v>0</v>
      </c>
      <c r="BQ46" s="354">
        <v>0</v>
      </c>
      <c r="BR46" s="354">
        <v>0</v>
      </c>
      <c r="BS46" s="354">
        <v>0</v>
      </c>
      <c r="BT46" s="354">
        <v>0</v>
      </c>
      <c r="BU46" s="354">
        <v>0</v>
      </c>
      <c r="BV46" s="354">
        <v>0</v>
      </c>
      <c r="BW46" s="354">
        <v>0</v>
      </c>
      <c r="BX46" s="354">
        <v>0</v>
      </c>
      <c r="BY46" s="354">
        <v>0</v>
      </c>
      <c r="BZ46" s="354">
        <v>0</v>
      </c>
      <c r="CA46" s="560">
        <v>0</v>
      </c>
      <c r="CB46" s="560">
        <v>0</v>
      </c>
      <c r="CC46" s="560">
        <v>0</v>
      </c>
      <c r="CD46" s="560">
        <v>0</v>
      </c>
      <c r="CE46" s="560">
        <v>0</v>
      </c>
      <c r="CF46" s="560">
        <v>0</v>
      </c>
      <c r="CG46" s="560">
        <v>0</v>
      </c>
      <c r="CH46" s="560">
        <v>0</v>
      </c>
      <c r="CI46" s="560">
        <v>0</v>
      </c>
      <c r="CJ46" s="560">
        <v>0</v>
      </c>
      <c r="CK46" s="560">
        <v>0</v>
      </c>
      <c r="CL46" s="560">
        <v>0</v>
      </c>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c r="DJ46" s="354"/>
      <c r="DK46" s="354"/>
      <c r="DL46" s="354"/>
      <c r="DM46" s="354"/>
      <c r="DN46" s="354"/>
      <c r="DO46" s="354"/>
      <c r="DP46" s="354"/>
      <c r="DQ46" s="354"/>
      <c r="DR46" s="354"/>
      <c r="DS46" s="354"/>
      <c r="DT46" s="354"/>
      <c r="DU46" s="354"/>
      <c r="DV46" s="354"/>
      <c r="DW46" s="543">
        <f>SUM(G46:DV46)</f>
        <v>0</v>
      </c>
      <c r="DX46" s="858">
        <f>DW46+DW47+DW48</f>
        <v>903.43576000000007</v>
      </c>
      <c r="DY46" s="704">
        <f>+DX46*1000000</f>
        <v>903435760.00000012</v>
      </c>
      <c r="DZ46" s="870">
        <f>+DY46-D46</f>
        <v>0</v>
      </c>
      <c r="EA46" s="873" t="e">
        <f>VLOOKUP(POA!$B46,'Detalle Plan de Adquisiciones'!$G$6:$AF$66,23,0)</f>
        <v>#N/A</v>
      </c>
      <c r="EB46" s="859" t="e">
        <f>VLOOKUP(POA!$B46,'Detalle Plan de Adquisiciones'!$G$6:$AF$66,25,0)</f>
        <v>#N/A</v>
      </c>
      <c r="EC46" s="859" t="e">
        <f>EB46+30</f>
        <v>#N/A</v>
      </c>
      <c r="ED46" s="859" t="e">
        <f>CONCATENATE(MONTH(EA46),"-",YEAR(EA46))</f>
        <v>#N/A</v>
      </c>
      <c r="EE46" s="859" t="e">
        <f>CONCATENATE(MONTH(EB46),"-",YEAR(EB46))</f>
        <v>#N/A</v>
      </c>
      <c r="EF46" s="861" t="e">
        <f>CONCATENATE(MONTH(EC46),"-",YEAR(EC46))</f>
        <v>#N/A</v>
      </c>
      <c r="EG46" s="1105" t="e">
        <f>+YEAR(EA46)</f>
        <v>#N/A</v>
      </c>
      <c r="EH46" s="393">
        <f>+DY46</f>
        <v>903435760.00000012</v>
      </c>
      <c r="EI46" s="858">
        <f>+DW46+DW47+DW48</f>
        <v>903.43576000000007</v>
      </c>
      <c r="EJ46" s="877">
        <f>+D46/1000000-EI46</f>
        <v>0</v>
      </c>
      <c r="ER46" s="497"/>
    </row>
    <row r="47" spans="1:148" s="278" customFormat="1" outlineLevel="2" x14ac:dyDescent="0.2">
      <c r="A47" s="893"/>
      <c r="B47" s="886"/>
      <c r="C47" s="903"/>
      <c r="D47" s="864"/>
      <c r="E47" s="867"/>
      <c r="F47" s="311" t="s">
        <v>210</v>
      </c>
      <c r="G47" s="363">
        <v>0</v>
      </c>
      <c r="H47" s="363">
        <v>0</v>
      </c>
      <c r="I47" s="363">
        <v>0</v>
      </c>
      <c r="J47" s="363">
        <v>0</v>
      </c>
      <c r="K47" s="363">
        <v>0</v>
      </c>
      <c r="L47" s="363">
        <v>0</v>
      </c>
      <c r="M47" s="363">
        <v>0</v>
      </c>
      <c r="N47" s="363">
        <v>0</v>
      </c>
      <c r="O47" s="363">
        <v>0</v>
      </c>
      <c r="P47" s="363">
        <v>0</v>
      </c>
      <c r="Q47" s="363">
        <v>0</v>
      </c>
      <c r="R47" s="363">
        <v>0</v>
      </c>
      <c r="S47" s="363">
        <v>0</v>
      </c>
      <c r="T47" s="363">
        <v>0</v>
      </c>
      <c r="U47" s="363">
        <v>0</v>
      </c>
      <c r="V47" s="363">
        <v>0</v>
      </c>
      <c r="W47" s="363">
        <v>0</v>
      </c>
      <c r="X47" s="363">
        <v>0</v>
      </c>
      <c r="Y47" s="363"/>
      <c r="Z47" s="363"/>
      <c r="AA47" s="363"/>
      <c r="AB47" s="363"/>
      <c r="AC47" s="363"/>
      <c r="AD47" s="363"/>
      <c r="AE47" s="363">
        <v>0</v>
      </c>
      <c r="AF47" s="363">
        <v>0</v>
      </c>
      <c r="AG47" s="363">
        <v>0</v>
      </c>
      <c r="AH47" s="363">
        <v>0</v>
      </c>
      <c r="AI47" s="363">
        <v>0</v>
      </c>
      <c r="AJ47" s="363">
        <v>49.844735999999997</v>
      </c>
      <c r="AK47" s="363">
        <v>99.689471999999995</v>
      </c>
      <c r="AL47" s="363">
        <v>49.844735999999997</v>
      </c>
      <c r="AM47" s="363">
        <v>0</v>
      </c>
      <c r="AN47" s="363">
        <v>0</v>
      </c>
      <c r="AO47" s="363">
        <v>49.844735999999997</v>
      </c>
      <c r="AP47" s="363">
        <v>49.844735999999997</v>
      </c>
      <c r="AQ47" s="363">
        <v>0</v>
      </c>
      <c r="AR47" s="363">
        <v>0</v>
      </c>
      <c r="AS47" s="363">
        <v>0</v>
      </c>
      <c r="AT47" s="363">
        <v>0</v>
      </c>
      <c r="AU47" s="363">
        <v>0</v>
      </c>
      <c r="AV47" s="363">
        <v>0</v>
      </c>
      <c r="AW47" s="363">
        <v>0</v>
      </c>
      <c r="AX47" s="363">
        <v>0</v>
      </c>
      <c r="AY47" s="363">
        <v>219.09786299999999</v>
      </c>
      <c r="AZ47" s="363">
        <v>0</v>
      </c>
      <c r="BA47" s="363">
        <v>0</v>
      </c>
      <c r="BB47" s="363">
        <v>0</v>
      </c>
      <c r="BC47" s="363">
        <v>0</v>
      </c>
      <c r="BD47" s="363">
        <v>0</v>
      </c>
      <c r="BE47" s="363">
        <v>0</v>
      </c>
      <c r="BF47" s="363">
        <v>0</v>
      </c>
      <c r="BG47" s="363">
        <v>0</v>
      </c>
      <c r="BH47" s="363">
        <v>0</v>
      </c>
      <c r="BI47" s="363">
        <v>0</v>
      </c>
      <c r="BJ47" s="363">
        <v>0</v>
      </c>
      <c r="BK47" s="363">
        <v>0</v>
      </c>
      <c r="BL47" s="363">
        <v>0</v>
      </c>
      <c r="BM47" s="363">
        <v>0</v>
      </c>
      <c r="BN47" s="363">
        <v>0</v>
      </c>
      <c r="BO47" s="363">
        <v>0</v>
      </c>
      <c r="BP47" s="363">
        <v>0</v>
      </c>
      <c r="BQ47" s="363">
        <v>0</v>
      </c>
      <c r="BR47" s="363">
        <v>0</v>
      </c>
      <c r="BS47" s="363">
        <v>0</v>
      </c>
      <c r="BT47" s="363">
        <v>0</v>
      </c>
      <c r="BU47" s="363">
        <v>0</v>
      </c>
      <c r="BV47" s="363">
        <v>0</v>
      </c>
      <c r="BW47" s="363">
        <v>0</v>
      </c>
      <c r="BX47" s="363">
        <v>0</v>
      </c>
      <c r="BY47" s="363">
        <v>0</v>
      </c>
      <c r="BZ47" s="363">
        <v>0</v>
      </c>
      <c r="CA47" s="363">
        <v>0</v>
      </c>
      <c r="CB47" s="363">
        <v>0</v>
      </c>
      <c r="CC47" s="363">
        <v>0</v>
      </c>
      <c r="CD47" s="363">
        <v>0</v>
      </c>
      <c r="CE47" s="363">
        <v>0</v>
      </c>
      <c r="CF47" s="363">
        <v>0</v>
      </c>
      <c r="CG47" s="363">
        <v>0</v>
      </c>
      <c r="CH47" s="363">
        <v>0</v>
      </c>
      <c r="CI47" s="363">
        <v>0</v>
      </c>
      <c r="CJ47" s="363">
        <v>0</v>
      </c>
      <c r="CK47" s="363">
        <v>0</v>
      </c>
      <c r="CL47" s="363">
        <v>0</v>
      </c>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c r="DJ47" s="363"/>
      <c r="DK47" s="363"/>
      <c r="DL47" s="363"/>
      <c r="DM47" s="363"/>
      <c r="DN47" s="363"/>
      <c r="DO47" s="363"/>
      <c r="DP47" s="363"/>
      <c r="DQ47" s="363"/>
      <c r="DR47" s="363"/>
      <c r="DS47" s="363"/>
      <c r="DT47" s="363"/>
      <c r="DU47" s="363"/>
      <c r="DV47" s="363"/>
      <c r="DW47" s="544">
        <f t="shared" si="15"/>
        <v>518.16627900000003</v>
      </c>
      <c r="DX47" s="858"/>
      <c r="DY47" s="705"/>
      <c r="DZ47" s="871"/>
      <c r="EA47" s="873"/>
      <c r="EB47" s="859"/>
      <c r="EC47" s="859"/>
      <c r="ED47" s="859"/>
      <c r="EE47" s="859"/>
      <c r="EF47" s="861"/>
      <c r="EG47" s="1106"/>
      <c r="EI47" s="858"/>
      <c r="EJ47" s="877"/>
      <c r="ER47" s="497"/>
    </row>
    <row r="48" spans="1:148" s="278" customFormat="1" ht="12.75" outlineLevel="2" thickBot="1" x14ac:dyDescent="0.25">
      <c r="A48" s="894"/>
      <c r="B48" s="887"/>
      <c r="C48" s="904"/>
      <c r="D48" s="865"/>
      <c r="E48" s="868"/>
      <c r="F48" s="315" t="s">
        <v>211</v>
      </c>
      <c r="G48" s="364">
        <v>0</v>
      </c>
      <c r="H48" s="364">
        <v>0</v>
      </c>
      <c r="I48" s="364">
        <v>0</v>
      </c>
      <c r="J48" s="364">
        <v>0</v>
      </c>
      <c r="K48" s="364">
        <v>0</v>
      </c>
      <c r="L48" s="364">
        <v>0</v>
      </c>
      <c r="M48" s="364">
        <v>0</v>
      </c>
      <c r="N48" s="364">
        <v>0</v>
      </c>
      <c r="O48" s="364">
        <v>0</v>
      </c>
      <c r="P48" s="364">
        <v>0</v>
      </c>
      <c r="Q48" s="364">
        <v>0</v>
      </c>
      <c r="R48" s="364">
        <v>0</v>
      </c>
      <c r="S48" s="364">
        <v>0</v>
      </c>
      <c r="T48" s="364">
        <v>0</v>
      </c>
      <c r="U48" s="364">
        <v>0</v>
      </c>
      <c r="V48" s="364">
        <v>0</v>
      </c>
      <c r="W48" s="364">
        <v>0</v>
      </c>
      <c r="X48" s="364">
        <v>0</v>
      </c>
      <c r="Y48" s="364">
        <v>0</v>
      </c>
      <c r="Z48" s="364">
        <v>0</v>
      </c>
      <c r="AA48" s="364"/>
      <c r="AB48" s="391">
        <v>49.844735999999997</v>
      </c>
      <c r="AC48" s="391">
        <v>99.689471999999995</v>
      </c>
      <c r="AD48" s="391">
        <v>49.844735999999997</v>
      </c>
      <c r="AE48" s="364">
        <v>0</v>
      </c>
      <c r="AF48" s="364">
        <v>0</v>
      </c>
      <c r="AG48" s="364">
        <v>0</v>
      </c>
      <c r="AH48" s="363">
        <v>99.689471999999995</v>
      </c>
      <c r="AI48" s="364"/>
      <c r="AJ48" s="364">
        <v>0</v>
      </c>
      <c r="AK48" s="364">
        <v>0</v>
      </c>
      <c r="AL48" s="364">
        <v>49.844735999999997</v>
      </c>
      <c r="AM48" s="364">
        <v>0</v>
      </c>
      <c r="AN48" s="364">
        <v>0</v>
      </c>
      <c r="AO48" s="364">
        <v>0</v>
      </c>
      <c r="AP48" s="364">
        <v>0</v>
      </c>
      <c r="AQ48" s="364">
        <v>0</v>
      </c>
      <c r="AR48" s="364">
        <v>0</v>
      </c>
      <c r="AS48" s="364">
        <v>0</v>
      </c>
      <c r="AT48" s="364">
        <v>0</v>
      </c>
      <c r="AU48" s="364">
        <v>0</v>
      </c>
      <c r="AV48" s="364">
        <v>0</v>
      </c>
      <c r="AW48" s="364">
        <v>0</v>
      </c>
      <c r="AX48" s="364">
        <v>0</v>
      </c>
      <c r="AY48" s="364">
        <v>36.356329000000002</v>
      </c>
      <c r="AZ48" s="364">
        <v>0</v>
      </c>
      <c r="BA48" s="364">
        <v>0</v>
      </c>
      <c r="BB48" s="364">
        <v>0</v>
      </c>
      <c r="BC48" s="364">
        <v>0</v>
      </c>
      <c r="BD48" s="364">
        <v>0</v>
      </c>
      <c r="BE48" s="364">
        <v>0</v>
      </c>
      <c r="BF48" s="364">
        <v>0</v>
      </c>
      <c r="BG48" s="364">
        <v>0</v>
      </c>
      <c r="BH48" s="364">
        <v>0</v>
      </c>
      <c r="BI48" s="364">
        <v>0</v>
      </c>
      <c r="BJ48" s="364">
        <v>0</v>
      </c>
      <c r="BK48" s="364">
        <v>0</v>
      </c>
      <c r="BL48" s="364">
        <v>0</v>
      </c>
      <c r="BM48" s="364">
        <v>0</v>
      </c>
      <c r="BN48" s="364">
        <v>0</v>
      </c>
      <c r="BO48" s="364">
        <v>0</v>
      </c>
      <c r="BP48" s="364">
        <v>0</v>
      </c>
      <c r="BQ48" s="364">
        <v>0</v>
      </c>
      <c r="BR48" s="364">
        <v>0</v>
      </c>
      <c r="BS48" s="364">
        <v>0</v>
      </c>
      <c r="BT48" s="364">
        <v>0</v>
      </c>
      <c r="BU48" s="364">
        <v>0</v>
      </c>
      <c r="BV48" s="364">
        <v>0</v>
      </c>
      <c r="BW48" s="364">
        <v>0</v>
      </c>
      <c r="BX48" s="364">
        <v>0</v>
      </c>
      <c r="BY48" s="364">
        <v>0</v>
      </c>
      <c r="BZ48" s="364">
        <v>0</v>
      </c>
      <c r="CA48" s="364">
        <v>0</v>
      </c>
      <c r="CB48" s="364">
        <v>0</v>
      </c>
      <c r="CC48" s="364">
        <v>0</v>
      </c>
      <c r="CD48" s="364">
        <v>0</v>
      </c>
      <c r="CE48" s="364">
        <v>0</v>
      </c>
      <c r="CF48" s="364">
        <v>0</v>
      </c>
      <c r="CG48" s="364">
        <v>0</v>
      </c>
      <c r="CH48" s="364">
        <v>0</v>
      </c>
      <c r="CI48" s="364">
        <v>0</v>
      </c>
      <c r="CJ48" s="364">
        <v>0</v>
      </c>
      <c r="CK48" s="364">
        <v>0</v>
      </c>
      <c r="CL48" s="364">
        <v>0</v>
      </c>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c r="DJ48" s="364"/>
      <c r="DK48" s="364"/>
      <c r="DL48" s="364"/>
      <c r="DM48" s="364"/>
      <c r="DN48" s="364"/>
      <c r="DO48" s="364"/>
      <c r="DP48" s="364"/>
      <c r="DQ48" s="364"/>
      <c r="DR48" s="364"/>
      <c r="DS48" s="364"/>
      <c r="DT48" s="364"/>
      <c r="DU48" s="364"/>
      <c r="DV48" s="364"/>
      <c r="DW48" s="649">
        <f t="shared" si="15"/>
        <v>385.26948099999998</v>
      </c>
      <c r="DX48" s="858"/>
      <c r="DY48" s="706"/>
      <c r="DZ48" s="872"/>
      <c r="EA48" s="873"/>
      <c r="EB48" s="859"/>
      <c r="EC48" s="859"/>
      <c r="ED48" s="859"/>
      <c r="EE48" s="859"/>
      <c r="EF48" s="861"/>
      <c r="EG48" s="1107"/>
      <c r="EI48" s="858"/>
      <c r="EJ48" s="877"/>
      <c r="ER48" s="497"/>
    </row>
    <row r="49" spans="1:148" s="278" customFormat="1" ht="24" outlineLevel="2" x14ac:dyDescent="0.2">
      <c r="A49" s="892" t="s">
        <v>376</v>
      </c>
      <c r="B49" s="897" t="s">
        <v>161</v>
      </c>
      <c r="C49" s="902"/>
      <c r="D49" s="863">
        <f>+'Detalle Plan de Adquisiciones'!L97</f>
        <v>183000000</v>
      </c>
      <c r="E49" s="866" t="s">
        <v>357</v>
      </c>
      <c r="F49" s="312" t="s">
        <v>410</v>
      </c>
      <c r="G49" s="354">
        <v>0</v>
      </c>
      <c r="H49" s="354">
        <v>0</v>
      </c>
      <c r="I49" s="354">
        <v>0</v>
      </c>
      <c r="J49" s="354">
        <v>0</v>
      </c>
      <c r="K49" s="354">
        <v>0</v>
      </c>
      <c r="L49" s="354">
        <v>0</v>
      </c>
      <c r="M49" s="354">
        <v>0</v>
      </c>
      <c r="N49" s="354">
        <v>0</v>
      </c>
      <c r="O49" s="354">
        <v>0</v>
      </c>
      <c r="P49" s="354">
        <v>0</v>
      </c>
      <c r="Q49" s="354">
        <v>0</v>
      </c>
      <c r="R49" s="354">
        <v>0</v>
      </c>
      <c r="S49" s="354">
        <v>0</v>
      </c>
      <c r="T49" s="354">
        <v>0</v>
      </c>
      <c r="U49" s="354">
        <v>0</v>
      </c>
      <c r="V49" s="354">
        <v>0</v>
      </c>
      <c r="W49" s="354">
        <v>0</v>
      </c>
      <c r="X49" s="354">
        <v>0</v>
      </c>
      <c r="Y49" s="354">
        <v>0</v>
      </c>
      <c r="Z49" s="354">
        <v>0</v>
      </c>
      <c r="AA49" s="354">
        <v>0</v>
      </c>
      <c r="AB49" s="392">
        <v>0</v>
      </c>
      <c r="AC49" s="392">
        <v>0</v>
      </c>
      <c r="AD49" s="392">
        <v>0</v>
      </c>
      <c r="AE49" s="354">
        <v>0</v>
      </c>
      <c r="AF49" s="354">
        <v>0</v>
      </c>
      <c r="AG49" s="354">
        <v>0</v>
      </c>
      <c r="AH49" s="354">
        <v>0</v>
      </c>
      <c r="AI49" s="354">
        <v>0</v>
      </c>
      <c r="AJ49" s="354">
        <v>0</v>
      </c>
      <c r="AK49" s="354">
        <v>0</v>
      </c>
      <c r="AL49" s="354">
        <v>0</v>
      </c>
      <c r="AM49" s="354">
        <v>0</v>
      </c>
      <c r="AN49" s="354">
        <v>0</v>
      </c>
      <c r="AO49" s="354">
        <v>0</v>
      </c>
      <c r="AP49" s="354">
        <v>0</v>
      </c>
      <c r="AQ49" s="354">
        <v>0</v>
      </c>
      <c r="AR49" s="354">
        <v>0</v>
      </c>
      <c r="AS49" s="354">
        <v>0</v>
      </c>
      <c r="AT49" s="354">
        <v>0</v>
      </c>
      <c r="AU49" s="354">
        <v>0</v>
      </c>
      <c r="AV49" s="354">
        <v>0</v>
      </c>
      <c r="AW49" s="354">
        <v>0</v>
      </c>
      <c r="AX49" s="354">
        <v>0</v>
      </c>
      <c r="AY49" s="354">
        <v>0</v>
      </c>
      <c r="AZ49" s="354">
        <v>0</v>
      </c>
      <c r="BA49" s="354">
        <v>0</v>
      </c>
      <c r="BB49" s="354">
        <v>0</v>
      </c>
      <c r="BC49" s="354">
        <v>0</v>
      </c>
      <c r="BD49" s="354">
        <v>0</v>
      </c>
      <c r="BE49" s="354">
        <v>0</v>
      </c>
      <c r="BF49" s="354">
        <v>0</v>
      </c>
      <c r="BG49" s="354">
        <v>0</v>
      </c>
      <c r="BH49" s="354">
        <v>0</v>
      </c>
      <c r="BI49" s="354">
        <v>0</v>
      </c>
      <c r="BJ49" s="354">
        <v>0</v>
      </c>
      <c r="BK49" s="354">
        <v>0</v>
      </c>
      <c r="BL49" s="354">
        <v>0</v>
      </c>
      <c r="BM49" s="354">
        <v>0</v>
      </c>
      <c r="BN49" s="354">
        <v>0</v>
      </c>
      <c r="BO49" s="354">
        <v>0</v>
      </c>
      <c r="BP49" s="354">
        <v>0</v>
      </c>
      <c r="BQ49" s="354">
        <v>0</v>
      </c>
      <c r="BR49" s="354">
        <v>0</v>
      </c>
      <c r="BS49" s="354">
        <v>0</v>
      </c>
      <c r="BT49" s="354">
        <v>0</v>
      </c>
      <c r="BU49" s="354">
        <v>0</v>
      </c>
      <c r="BV49" s="354">
        <v>0</v>
      </c>
      <c r="BW49" s="354">
        <v>0</v>
      </c>
      <c r="BX49" s="354">
        <v>0</v>
      </c>
      <c r="BY49" s="354">
        <v>0</v>
      </c>
      <c r="BZ49" s="354">
        <v>0</v>
      </c>
      <c r="CA49" s="560">
        <v>0</v>
      </c>
      <c r="CB49" s="560">
        <v>0</v>
      </c>
      <c r="CC49" s="560">
        <v>0</v>
      </c>
      <c r="CD49" s="560">
        <v>0</v>
      </c>
      <c r="CE49" s="560">
        <v>0</v>
      </c>
      <c r="CF49" s="560">
        <v>0</v>
      </c>
      <c r="CG49" s="560">
        <v>0</v>
      </c>
      <c r="CH49" s="560">
        <v>0</v>
      </c>
      <c r="CI49" s="560">
        <v>0</v>
      </c>
      <c r="CJ49" s="560">
        <v>0</v>
      </c>
      <c r="CK49" s="560">
        <v>0</v>
      </c>
      <c r="CL49" s="560">
        <v>0</v>
      </c>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543">
        <f>SUM(G49:DV49)</f>
        <v>0</v>
      </c>
      <c r="DX49" s="858">
        <f>DW49+DW50+DW51</f>
        <v>182.99999919000001</v>
      </c>
      <c r="DY49" s="704">
        <f>+DX49*1000000</f>
        <v>182999999.19</v>
      </c>
      <c r="DZ49" s="870">
        <f>+DY49-D49</f>
        <v>-0.81000000238418579</v>
      </c>
      <c r="EA49" s="873" t="str">
        <f>VLOOKUP(POA!$B49,'Detalle Plan de Adquisiciones'!$G$6:$AF$66,23,0)</f>
        <v>N/A</v>
      </c>
      <c r="EB49" s="859">
        <f>VLOOKUP(POA!$B49,'Detalle Plan de Adquisiciones'!$G$6:$AF$66,25,0)</f>
        <v>41050</v>
      </c>
      <c r="EC49" s="859">
        <f>EB49+30</f>
        <v>41080</v>
      </c>
      <c r="ED49" s="859" t="e">
        <f>CONCATENATE(MONTH(EA49),"-",YEAR(EA49))</f>
        <v>#VALUE!</v>
      </c>
      <c r="EE49" s="859" t="str">
        <f>CONCATENATE(MONTH(EB49),"-",YEAR(EB49))</f>
        <v>5-2012</v>
      </c>
      <c r="EF49" s="861" t="str">
        <f>CONCATENATE(MONTH(EC49),"-",YEAR(EC49))</f>
        <v>6-2012</v>
      </c>
      <c r="EG49" s="1105" t="e">
        <f>+YEAR(EA49)</f>
        <v>#VALUE!</v>
      </c>
      <c r="EH49" s="393">
        <f>+DY49</f>
        <v>182999999.19</v>
      </c>
      <c r="EI49" s="858">
        <f>+DW49+DW50+DW51</f>
        <v>182.99999919000001</v>
      </c>
      <c r="EJ49" s="877">
        <f>+D49/1000000-EI49</f>
        <v>8.0999998885999958E-7</v>
      </c>
      <c r="ER49" s="497"/>
    </row>
    <row r="50" spans="1:148" s="278" customFormat="1" outlineLevel="2" x14ac:dyDescent="0.2">
      <c r="A50" s="893"/>
      <c r="B50" s="886"/>
      <c r="C50" s="903"/>
      <c r="D50" s="864"/>
      <c r="E50" s="867"/>
      <c r="F50" s="311" t="s">
        <v>210</v>
      </c>
      <c r="G50" s="363">
        <v>0</v>
      </c>
      <c r="H50" s="363">
        <v>0</v>
      </c>
      <c r="I50" s="363">
        <v>0</v>
      </c>
      <c r="J50" s="363">
        <v>0</v>
      </c>
      <c r="K50" s="363">
        <v>0</v>
      </c>
      <c r="L50" s="363">
        <v>0</v>
      </c>
      <c r="M50" s="363">
        <v>0</v>
      </c>
      <c r="N50" s="363">
        <v>0</v>
      </c>
      <c r="O50" s="363">
        <v>0</v>
      </c>
      <c r="P50" s="363">
        <v>0</v>
      </c>
      <c r="Q50" s="363">
        <v>0</v>
      </c>
      <c r="R50" s="363">
        <v>0</v>
      </c>
      <c r="S50" s="363">
        <v>0</v>
      </c>
      <c r="T50" s="363">
        <v>0</v>
      </c>
      <c r="U50" s="363">
        <v>0</v>
      </c>
      <c r="V50" s="363">
        <v>0</v>
      </c>
      <c r="W50" s="363">
        <v>0</v>
      </c>
      <c r="X50" s="363">
        <v>0</v>
      </c>
      <c r="Y50" s="363">
        <v>0</v>
      </c>
      <c r="Z50" s="363">
        <v>0</v>
      </c>
      <c r="AA50" s="363">
        <v>0</v>
      </c>
      <c r="AB50" s="363">
        <v>0</v>
      </c>
      <c r="AC50" s="363">
        <v>0</v>
      </c>
      <c r="AD50" s="363">
        <v>0</v>
      </c>
      <c r="AE50" s="363">
        <v>0</v>
      </c>
      <c r="AF50" s="363">
        <v>41.074906290000001</v>
      </c>
      <c r="AG50" s="363">
        <v>20.53745314</v>
      </c>
      <c r="AH50" s="363">
        <v>21.76241314</v>
      </c>
      <c r="AI50" s="363">
        <v>21.76241314</v>
      </c>
      <c r="AJ50" s="363">
        <v>0</v>
      </c>
      <c r="AK50" s="363">
        <v>21.76241314</v>
      </c>
      <c r="AL50" s="363">
        <v>19.500400339999999</v>
      </c>
      <c r="AM50" s="363">
        <v>36.6</v>
      </c>
      <c r="AN50" s="363">
        <v>0</v>
      </c>
      <c r="AO50" s="363">
        <v>0</v>
      </c>
      <c r="AP50" s="363">
        <v>0</v>
      </c>
      <c r="AQ50" s="363">
        <v>0</v>
      </c>
      <c r="AR50" s="363">
        <v>0</v>
      </c>
      <c r="AS50" s="363">
        <v>0</v>
      </c>
      <c r="AT50" s="363">
        <v>0</v>
      </c>
      <c r="AU50" s="363">
        <v>0</v>
      </c>
      <c r="AV50" s="363">
        <v>0</v>
      </c>
      <c r="AW50" s="363">
        <v>0</v>
      </c>
      <c r="AX50" s="363">
        <v>0</v>
      </c>
      <c r="AY50" s="363">
        <v>0</v>
      </c>
      <c r="AZ50" s="363">
        <v>0</v>
      </c>
      <c r="BA50" s="363">
        <v>0</v>
      </c>
      <c r="BB50" s="363">
        <v>0</v>
      </c>
      <c r="BC50" s="363">
        <v>0</v>
      </c>
      <c r="BD50" s="363">
        <v>0</v>
      </c>
      <c r="BE50" s="363">
        <v>0</v>
      </c>
      <c r="BF50" s="363">
        <v>0</v>
      </c>
      <c r="BG50" s="363">
        <v>0</v>
      </c>
      <c r="BH50" s="363">
        <v>0</v>
      </c>
      <c r="BI50" s="363">
        <v>0</v>
      </c>
      <c r="BJ50" s="363">
        <v>0</v>
      </c>
      <c r="BK50" s="363">
        <v>0</v>
      </c>
      <c r="BL50" s="363">
        <v>0</v>
      </c>
      <c r="BM50" s="363">
        <v>0</v>
      </c>
      <c r="BN50" s="363">
        <v>0</v>
      </c>
      <c r="BO50" s="363">
        <v>0</v>
      </c>
      <c r="BP50" s="363">
        <v>0</v>
      </c>
      <c r="BQ50" s="363">
        <v>0</v>
      </c>
      <c r="BR50" s="363">
        <v>0</v>
      </c>
      <c r="BS50" s="363">
        <v>0</v>
      </c>
      <c r="BT50" s="363">
        <v>0</v>
      </c>
      <c r="BU50" s="363">
        <v>0</v>
      </c>
      <c r="BV50" s="363">
        <v>0</v>
      </c>
      <c r="BW50" s="363">
        <v>0</v>
      </c>
      <c r="BX50" s="363">
        <v>0</v>
      </c>
      <c r="BY50" s="363">
        <v>0</v>
      </c>
      <c r="BZ50" s="363">
        <v>0</v>
      </c>
      <c r="CA50" s="363">
        <v>0</v>
      </c>
      <c r="CB50" s="363">
        <v>0</v>
      </c>
      <c r="CC50" s="363">
        <v>0</v>
      </c>
      <c r="CD50" s="363">
        <v>0</v>
      </c>
      <c r="CE50" s="363">
        <v>0</v>
      </c>
      <c r="CF50" s="363">
        <v>0</v>
      </c>
      <c r="CG50" s="363">
        <v>0</v>
      </c>
      <c r="CH50" s="363">
        <v>0</v>
      </c>
      <c r="CI50" s="363">
        <v>0</v>
      </c>
      <c r="CJ50" s="363">
        <v>0</v>
      </c>
      <c r="CK50" s="363">
        <v>0</v>
      </c>
      <c r="CL50" s="363">
        <v>0</v>
      </c>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c r="DJ50" s="363"/>
      <c r="DK50" s="363"/>
      <c r="DL50" s="363"/>
      <c r="DM50" s="363"/>
      <c r="DN50" s="363"/>
      <c r="DO50" s="363"/>
      <c r="DP50" s="363"/>
      <c r="DQ50" s="363"/>
      <c r="DR50" s="363"/>
      <c r="DS50" s="363"/>
      <c r="DT50" s="363"/>
      <c r="DU50" s="363"/>
      <c r="DV50" s="363"/>
      <c r="DW50" s="544">
        <f t="shared" si="15"/>
        <v>182.99999919000001</v>
      </c>
      <c r="DX50" s="858"/>
      <c r="DY50" s="705"/>
      <c r="DZ50" s="871"/>
      <c r="EA50" s="873"/>
      <c r="EB50" s="859"/>
      <c r="EC50" s="859"/>
      <c r="ED50" s="859"/>
      <c r="EE50" s="859"/>
      <c r="EF50" s="861"/>
      <c r="EG50" s="1106"/>
      <c r="EI50" s="858"/>
      <c r="EJ50" s="877"/>
      <c r="ER50" s="497"/>
    </row>
    <row r="51" spans="1:148" s="278" customFormat="1" ht="12.75" outlineLevel="2" thickBot="1" x14ac:dyDescent="0.25">
      <c r="A51" s="894"/>
      <c r="B51" s="887"/>
      <c r="C51" s="904"/>
      <c r="D51" s="865"/>
      <c r="E51" s="868"/>
      <c r="F51" s="315" t="s">
        <v>211</v>
      </c>
      <c r="G51" s="364">
        <v>0</v>
      </c>
      <c r="H51" s="364">
        <v>0</v>
      </c>
      <c r="I51" s="364">
        <v>0</v>
      </c>
      <c r="J51" s="364">
        <v>0</v>
      </c>
      <c r="K51" s="364">
        <v>0</v>
      </c>
      <c r="L51" s="364">
        <v>0</v>
      </c>
      <c r="M51" s="364">
        <v>0</v>
      </c>
      <c r="N51" s="364">
        <v>0</v>
      </c>
      <c r="O51" s="364">
        <v>0</v>
      </c>
      <c r="P51" s="364">
        <v>0</v>
      </c>
      <c r="Q51" s="364">
        <v>0</v>
      </c>
      <c r="R51" s="364">
        <v>0</v>
      </c>
      <c r="S51" s="364">
        <v>0</v>
      </c>
      <c r="T51" s="364">
        <v>0</v>
      </c>
      <c r="U51" s="364">
        <v>0</v>
      </c>
      <c r="V51" s="364">
        <v>0</v>
      </c>
      <c r="W51" s="364">
        <v>0</v>
      </c>
      <c r="X51" s="364">
        <v>0</v>
      </c>
      <c r="Y51" s="364">
        <v>0</v>
      </c>
      <c r="Z51" s="364">
        <v>0</v>
      </c>
      <c r="AA51" s="364">
        <v>0</v>
      </c>
      <c r="AB51" s="364">
        <v>0</v>
      </c>
      <c r="AC51" s="364">
        <v>0</v>
      </c>
      <c r="AD51" s="364">
        <v>0</v>
      </c>
      <c r="AE51" s="364">
        <v>0</v>
      </c>
      <c r="AF51" s="364">
        <v>0</v>
      </c>
      <c r="AG51" s="364">
        <v>0</v>
      </c>
      <c r="AH51" s="364">
        <v>0</v>
      </c>
      <c r="AI51" s="364">
        <v>0</v>
      </c>
      <c r="AJ51" s="364">
        <v>0</v>
      </c>
      <c r="AK51" s="364">
        <v>0</v>
      </c>
      <c r="AL51" s="364">
        <v>0</v>
      </c>
      <c r="AM51" s="364">
        <v>0</v>
      </c>
      <c r="AN51" s="364">
        <v>0</v>
      </c>
      <c r="AO51" s="364">
        <v>0</v>
      </c>
      <c r="AP51" s="364">
        <v>0</v>
      </c>
      <c r="AQ51" s="364">
        <v>0</v>
      </c>
      <c r="AR51" s="364">
        <v>0</v>
      </c>
      <c r="AS51" s="364">
        <v>0</v>
      </c>
      <c r="AT51" s="364">
        <v>0</v>
      </c>
      <c r="AU51" s="364">
        <v>0</v>
      </c>
      <c r="AV51" s="364">
        <v>0</v>
      </c>
      <c r="AW51" s="364">
        <v>0</v>
      </c>
      <c r="AX51" s="364">
        <v>0</v>
      </c>
      <c r="AY51" s="364">
        <v>0</v>
      </c>
      <c r="AZ51" s="364">
        <v>0</v>
      </c>
      <c r="BA51" s="364">
        <v>0</v>
      </c>
      <c r="BB51" s="364">
        <v>0</v>
      </c>
      <c r="BC51" s="364">
        <v>0</v>
      </c>
      <c r="BD51" s="364">
        <v>0</v>
      </c>
      <c r="BE51" s="364">
        <v>0</v>
      </c>
      <c r="BF51" s="364">
        <v>0</v>
      </c>
      <c r="BG51" s="364">
        <v>0</v>
      </c>
      <c r="BH51" s="364">
        <v>0</v>
      </c>
      <c r="BI51" s="364">
        <v>0</v>
      </c>
      <c r="BJ51" s="364">
        <v>0</v>
      </c>
      <c r="BK51" s="364">
        <v>0</v>
      </c>
      <c r="BL51" s="364">
        <v>0</v>
      </c>
      <c r="BM51" s="364">
        <v>0</v>
      </c>
      <c r="BN51" s="364">
        <v>0</v>
      </c>
      <c r="BO51" s="364">
        <v>0</v>
      </c>
      <c r="BP51" s="364">
        <v>0</v>
      </c>
      <c r="BQ51" s="364">
        <v>0</v>
      </c>
      <c r="BR51" s="364">
        <v>0</v>
      </c>
      <c r="BS51" s="364">
        <v>0</v>
      </c>
      <c r="BT51" s="364">
        <v>0</v>
      </c>
      <c r="BU51" s="364">
        <v>0</v>
      </c>
      <c r="BV51" s="364">
        <v>0</v>
      </c>
      <c r="BW51" s="364">
        <v>0</v>
      </c>
      <c r="BX51" s="364">
        <v>0</v>
      </c>
      <c r="BY51" s="364">
        <v>0</v>
      </c>
      <c r="BZ51" s="364">
        <v>0</v>
      </c>
      <c r="CA51" s="364">
        <v>0</v>
      </c>
      <c r="CB51" s="364">
        <v>0</v>
      </c>
      <c r="CC51" s="364">
        <v>0</v>
      </c>
      <c r="CD51" s="364">
        <v>0</v>
      </c>
      <c r="CE51" s="364">
        <v>0</v>
      </c>
      <c r="CF51" s="364">
        <v>0</v>
      </c>
      <c r="CG51" s="364">
        <v>0</v>
      </c>
      <c r="CH51" s="364">
        <v>0</v>
      </c>
      <c r="CI51" s="364">
        <v>0</v>
      </c>
      <c r="CJ51" s="364">
        <v>0</v>
      </c>
      <c r="CK51" s="364">
        <v>0</v>
      </c>
      <c r="CL51" s="364">
        <v>0</v>
      </c>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c r="DJ51" s="364"/>
      <c r="DK51" s="364"/>
      <c r="DL51" s="364"/>
      <c r="DM51" s="364"/>
      <c r="DN51" s="364"/>
      <c r="DO51" s="364"/>
      <c r="DP51" s="364"/>
      <c r="DQ51" s="364"/>
      <c r="DR51" s="364"/>
      <c r="DS51" s="364"/>
      <c r="DT51" s="364"/>
      <c r="DU51" s="364"/>
      <c r="DV51" s="364"/>
      <c r="DW51" s="649">
        <f t="shared" si="15"/>
        <v>0</v>
      </c>
      <c r="DX51" s="858"/>
      <c r="DY51" s="706"/>
      <c r="DZ51" s="872"/>
      <c r="EA51" s="873"/>
      <c r="EB51" s="859"/>
      <c r="EC51" s="859"/>
      <c r="ED51" s="859"/>
      <c r="EE51" s="859"/>
      <c r="EF51" s="861"/>
      <c r="EG51" s="1107"/>
      <c r="EI51" s="858"/>
      <c r="EJ51" s="877"/>
      <c r="ER51" s="497"/>
    </row>
    <row r="52" spans="1:148" s="278" customFormat="1" ht="24" outlineLevel="2" x14ac:dyDescent="0.2">
      <c r="A52" s="892" t="s">
        <v>377</v>
      </c>
      <c r="B52" s="897" t="s">
        <v>162</v>
      </c>
      <c r="C52" s="902"/>
      <c r="D52" s="863">
        <f>+'Detalle Plan de Adquisiciones'!L98</f>
        <v>366663240</v>
      </c>
      <c r="E52" s="866" t="s">
        <v>132</v>
      </c>
      <c r="F52" s="312" t="s">
        <v>410</v>
      </c>
      <c r="G52" s="354">
        <v>0</v>
      </c>
      <c r="H52" s="354">
        <v>0</v>
      </c>
      <c r="I52" s="354">
        <v>0</v>
      </c>
      <c r="J52" s="354">
        <v>0</v>
      </c>
      <c r="K52" s="354">
        <v>0</v>
      </c>
      <c r="L52" s="354">
        <v>0</v>
      </c>
      <c r="M52" s="354">
        <v>0</v>
      </c>
      <c r="N52" s="354">
        <v>0</v>
      </c>
      <c r="O52" s="354">
        <v>0</v>
      </c>
      <c r="P52" s="354">
        <v>0</v>
      </c>
      <c r="Q52" s="354">
        <v>0</v>
      </c>
      <c r="R52" s="354">
        <v>0</v>
      </c>
      <c r="S52" s="354">
        <v>0</v>
      </c>
      <c r="T52" s="354">
        <v>0</v>
      </c>
      <c r="U52" s="354">
        <v>0</v>
      </c>
      <c r="V52" s="354">
        <v>0</v>
      </c>
      <c r="W52" s="354">
        <v>0</v>
      </c>
      <c r="X52" s="354">
        <v>0</v>
      </c>
      <c r="Y52" s="354">
        <v>0</v>
      </c>
      <c r="Z52" s="354">
        <v>0</v>
      </c>
      <c r="AA52" s="354">
        <v>0</v>
      </c>
      <c r="AB52" s="354">
        <v>0</v>
      </c>
      <c r="AC52" s="354">
        <v>0</v>
      </c>
      <c r="AD52" s="354">
        <v>0</v>
      </c>
      <c r="AE52" s="354">
        <v>0</v>
      </c>
      <c r="AF52" s="354">
        <v>0</v>
      </c>
      <c r="AG52" s="354">
        <v>0</v>
      </c>
      <c r="AH52" s="354">
        <v>0</v>
      </c>
      <c r="AI52" s="354">
        <v>0</v>
      </c>
      <c r="AJ52" s="354">
        <v>0</v>
      </c>
      <c r="AK52" s="354">
        <v>0</v>
      </c>
      <c r="AL52" s="354">
        <v>0</v>
      </c>
      <c r="AM52" s="354">
        <v>0</v>
      </c>
      <c r="AN52" s="354">
        <v>0</v>
      </c>
      <c r="AO52" s="354">
        <v>0</v>
      </c>
      <c r="AP52" s="354">
        <v>0</v>
      </c>
      <c r="AQ52" s="354">
        <v>0</v>
      </c>
      <c r="AR52" s="354">
        <v>0</v>
      </c>
      <c r="AS52" s="354">
        <v>0</v>
      </c>
      <c r="AT52" s="354">
        <v>0</v>
      </c>
      <c r="AU52" s="354">
        <v>0</v>
      </c>
      <c r="AV52" s="354">
        <v>0</v>
      </c>
      <c r="AW52" s="354">
        <v>0</v>
      </c>
      <c r="AX52" s="354">
        <v>0</v>
      </c>
      <c r="AY52" s="354">
        <v>0</v>
      </c>
      <c r="AZ52" s="354">
        <v>0</v>
      </c>
      <c r="BA52" s="354">
        <v>0</v>
      </c>
      <c r="BB52" s="354">
        <v>0</v>
      </c>
      <c r="BC52" s="354">
        <v>0</v>
      </c>
      <c r="BD52" s="354">
        <v>0</v>
      </c>
      <c r="BE52" s="354">
        <v>0</v>
      </c>
      <c r="BF52" s="354">
        <v>0</v>
      </c>
      <c r="BG52" s="354">
        <v>0</v>
      </c>
      <c r="BH52" s="354">
        <v>0</v>
      </c>
      <c r="BI52" s="354">
        <v>0</v>
      </c>
      <c r="BJ52" s="354">
        <v>0</v>
      </c>
      <c r="BK52" s="354">
        <v>0</v>
      </c>
      <c r="BL52" s="354">
        <v>0</v>
      </c>
      <c r="BM52" s="354">
        <v>0</v>
      </c>
      <c r="BN52" s="354">
        <v>0</v>
      </c>
      <c r="BO52" s="354">
        <v>0</v>
      </c>
      <c r="BP52" s="354">
        <v>0</v>
      </c>
      <c r="BQ52" s="354">
        <v>0</v>
      </c>
      <c r="BR52" s="354">
        <v>0</v>
      </c>
      <c r="BS52" s="354">
        <v>0</v>
      </c>
      <c r="BT52" s="354">
        <v>0</v>
      </c>
      <c r="BU52" s="354">
        <v>0</v>
      </c>
      <c r="BV52" s="354">
        <v>0</v>
      </c>
      <c r="BW52" s="354">
        <v>0</v>
      </c>
      <c r="BX52" s="354">
        <v>0</v>
      </c>
      <c r="BY52" s="354">
        <v>0</v>
      </c>
      <c r="BZ52" s="354">
        <v>0</v>
      </c>
      <c r="CA52" s="560">
        <v>0</v>
      </c>
      <c r="CB52" s="560">
        <v>0</v>
      </c>
      <c r="CC52" s="560">
        <v>0</v>
      </c>
      <c r="CD52" s="560">
        <v>0</v>
      </c>
      <c r="CE52" s="560">
        <v>0</v>
      </c>
      <c r="CF52" s="560">
        <v>0</v>
      </c>
      <c r="CG52" s="560">
        <v>0</v>
      </c>
      <c r="CH52" s="560">
        <v>0</v>
      </c>
      <c r="CI52" s="560">
        <v>0</v>
      </c>
      <c r="CJ52" s="560">
        <v>0</v>
      </c>
      <c r="CK52" s="560">
        <v>0</v>
      </c>
      <c r="CL52" s="560">
        <v>0</v>
      </c>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543">
        <f>SUM(G52:DV52)</f>
        <v>0</v>
      </c>
      <c r="DX52" s="858">
        <f>DW52+DW53+DW54</f>
        <v>366.6632396</v>
      </c>
      <c r="DY52" s="704">
        <f>+DX52*1000000</f>
        <v>366663239.60000002</v>
      </c>
      <c r="DZ52" s="870">
        <f>+DY52-D52</f>
        <v>-0.39999997615814209</v>
      </c>
      <c r="EA52" s="873" t="str">
        <f>VLOOKUP(POA!$B52,'Detalle Plan de Adquisiciones'!$G$6:$AF$66,23,0)</f>
        <v>N/A</v>
      </c>
      <c r="EB52" s="859">
        <f>VLOOKUP(POA!$B52,'Detalle Plan de Adquisiciones'!$G$6:$AF$66,25,0)</f>
        <v>41283</v>
      </c>
      <c r="EC52" s="859">
        <f>EB52+30</f>
        <v>41313</v>
      </c>
      <c r="ED52" s="859" t="e">
        <f>CONCATENATE(MONTH(EA52),"-",YEAR(EA52))</f>
        <v>#VALUE!</v>
      </c>
      <c r="EE52" s="859" t="str">
        <f>CONCATENATE(MONTH(EB52),"-",YEAR(EB52))</f>
        <v>1-2013</v>
      </c>
      <c r="EF52" s="861" t="str">
        <f>CONCATENATE(MONTH(EC52),"-",YEAR(EC52))</f>
        <v>2-2013</v>
      </c>
      <c r="EG52" s="1105" t="e">
        <f>+YEAR(EA52)</f>
        <v>#VALUE!</v>
      </c>
      <c r="EH52" s="393">
        <f>+DY52</f>
        <v>366663239.60000002</v>
      </c>
      <c r="EI52" s="858">
        <f>+DW52+DW53+DW54</f>
        <v>366.6632396</v>
      </c>
      <c r="EJ52" s="877">
        <f>+D52/1000000-EI52</f>
        <v>3.9999997625272954E-7</v>
      </c>
      <c r="ER52" s="497"/>
    </row>
    <row r="53" spans="1:148" s="278" customFormat="1" outlineLevel="2" x14ac:dyDescent="0.2">
      <c r="A53" s="893"/>
      <c r="B53" s="886"/>
      <c r="C53" s="903"/>
      <c r="D53" s="864"/>
      <c r="E53" s="867"/>
      <c r="F53" s="311" t="s">
        <v>210</v>
      </c>
      <c r="G53" s="363">
        <v>0</v>
      </c>
      <c r="H53" s="363">
        <v>0</v>
      </c>
      <c r="I53" s="363">
        <v>0</v>
      </c>
      <c r="J53" s="363">
        <v>0</v>
      </c>
      <c r="K53" s="363">
        <v>0</v>
      </c>
      <c r="L53" s="363">
        <v>0</v>
      </c>
      <c r="M53" s="363">
        <v>0</v>
      </c>
      <c r="N53" s="363">
        <v>0</v>
      </c>
      <c r="O53" s="363">
        <v>0</v>
      </c>
      <c r="P53" s="363">
        <v>0</v>
      </c>
      <c r="Q53" s="363">
        <v>0</v>
      </c>
      <c r="R53" s="363">
        <v>0</v>
      </c>
      <c r="S53" s="363">
        <v>0</v>
      </c>
      <c r="T53" s="363">
        <v>0</v>
      </c>
      <c r="U53" s="363">
        <v>0</v>
      </c>
      <c r="V53" s="363">
        <v>0</v>
      </c>
      <c r="W53" s="363">
        <v>0</v>
      </c>
      <c r="X53" s="363">
        <v>0</v>
      </c>
      <c r="Y53" s="363">
        <v>0</v>
      </c>
      <c r="Z53" s="363">
        <v>0</v>
      </c>
      <c r="AA53" s="363">
        <v>0</v>
      </c>
      <c r="AB53" s="363">
        <v>0</v>
      </c>
      <c r="AC53" s="363">
        <v>0</v>
      </c>
      <c r="AD53" s="363">
        <v>0</v>
      </c>
      <c r="AE53" s="363">
        <v>29.333059200000005</v>
      </c>
      <c r="AF53" s="363">
        <v>29.333059200000005</v>
      </c>
      <c r="AG53" s="363">
        <v>29.333058999999999</v>
      </c>
      <c r="AH53" s="363">
        <v>29.333059200000005</v>
      </c>
      <c r="AI53" s="385">
        <v>29.333058999999999</v>
      </c>
      <c r="AJ53" s="385">
        <v>0</v>
      </c>
      <c r="AK53" s="385">
        <v>29.333058999999999</v>
      </c>
      <c r="AL53" s="385">
        <v>29.333058999999999</v>
      </c>
      <c r="AM53" s="385">
        <v>29.333058999999999</v>
      </c>
      <c r="AN53" s="385">
        <v>29.333058999999999</v>
      </c>
      <c r="AO53" s="385">
        <v>0</v>
      </c>
      <c r="AP53" s="385">
        <v>15.483169999999999</v>
      </c>
      <c r="AQ53" s="363">
        <v>0</v>
      </c>
      <c r="AR53" s="385">
        <v>0</v>
      </c>
      <c r="AS53" s="363">
        <v>0</v>
      </c>
      <c r="AT53" s="385">
        <v>0</v>
      </c>
      <c r="AU53" s="363">
        <v>0</v>
      </c>
      <c r="AV53" s="363">
        <v>0</v>
      </c>
      <c r="AW53" s="363">
        <v>0</v>
      </c>
      <c r="AX53" s="363">
        <v>0</v>
      </c>
      <c r="AY53" s="363">
        <v>0</v>
      </c>
      <c r="AZ53" s="363">
        <v>87.182537999999994</v>
      </c>
      <c r="BA53" s="363">
        <v>0</v>
      </c>
      <c r="BB53" s="363">
        <v>0</v>
      </c>
      <c r="BC53" s="363">
        <v>0</v>
      </c>
      <c r="BD53" s="363">
        <v>0</v>
      </c>
      <c r="BE53" s="363">
        <v>0</v>
      </c>
      <c r="BF53" s="363">
        <v>0</v>
      </c>
      <c r="BG53" s="363">
        <v>0</v>
      </c>
      <c r="BH53" s="363">
        <v>0</v>
      </c>
      <c r="BI53" s="363">
        <v>0</v>
      </c>
      <c r="BJ53" s="363">
        <v>0</v>
      </c>
      <c r="BK53" s="363">
        <v>0</v>
      </c>
      <c r="BL53" s="363">
        <v>0</v>
      </c>
      <c r="BM53" s="363">
        <v>0</v>
      </c>
      <c r="BN53" s="363">
        <v>0</v>
      </c>
      <c r="BO53" s="363">
        <v>0</v>
      </c>
      <c r="BP53" s="363">
        <v>0</v>
      </c>
      <c r="BQ53" s="363">
        <v>0</v>
      </c>
      <c r="BR53" s="363">
        <v>0</v>
      </c>
      <c r="BS53" s="363">
        <v>0</v>
      </c>
      <c r="BT53" s="363">
        <v>0</v>
      </c>
      <c r="BU53" s="363">
        <v>0</v>
      </c>
      <c r="BV53" s="363">
        <v>0</v>
      </c>
      <c r="BW53" s="363">
        <v>0</v>
      </c>
      <c r="BX53" s="363">
        <v>0</v>
      </c>
      <c r="BY53" s="363">
        <v>0</v>
      </c>
      <c r="BZ53" s="363">
        <v>0</v>
      </c>
      <c r="CA53" s="363">
        <v>0</v>
      </c>
      <c r="CB53" s="363">
        <v>0</v>
      </c>
      <c r="CC53" s="363">
        <v>0</v>
      </c>
      <c r="CD53" s="363">
        <v>0</v>
      </c>
      <c r="CE53" s="363">
        <v>0</v>
      </c>
      <c r="CF53" s="363">
        <v>0</v>
      </c>
      <c r="CG53" s="363">
        <v>0</v>
      </c>
      <c r="CH53" s="363">
        <v>0</v>
      </c>
      <c r="CI53" s="363">
        <v>0</v>
      </c>
      <c r="CJ53" s="363">
        <v>0</v>
      </c>
      <c r="CK53" s="363">
        <v>0</v>
      </c>
      <c r="CL53" s="363">
        <v>0</v>
      </c>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c r="DJ53" s="363"/>
      <c r="DK53" s="363"/>
      <c r="DL53" s="363"/>
      <c r="DM53" s="363"/>
      <c r="DN53" s="363"/>
      <c r="DO53" s="363"/>
      <c r="DP53" s="363"/>
      <c r="DQ53" s="363"/>
      <c r="DR53" s="363"/>
      <c r="DS53" s="363"/>
      <c r="DT53" s="363"/>
      <c r="DU53" s="363"/>
      <c r="DV53" s="363"/>
      <c r="DW53" s="544">
        <f t="shared" si="15"/>
        <v>366.6632396</v>
      </c>
      <c r="DX53" s="858"/>
      <c r="DY53" s="705"/>
      <c r="DZ53" s="871"/>
      <c r="EA53" s="873"/>
      <c r="EB53" s="859"/>
      <c r="EC53" s="859"/>
      <c r="ED53" s="859"/>
      <c r="EE53" s="859"/>
      <c r="EF53" s="861"/>
      <c r="EG53" s="1106"/>
      <c r="EI53" s="858"/>
      <c r="EJ53" s="877"/>
      <c r="ER53" s="497"/>
    </row>
    <row r="54" spans="1:148" s="278" customFormat="1" ht="12.75" outlineLevel="2" thickBot="1" x14ac:dyDescent="0.25">
      <c r="A54" s="894"/>
      <c r="B54" s="887"/>
      <c r="C54" s="904"/>
      <c r="D54" s="865"/>
      <c r="E54" s="868"/>
      <c r="F54" s="315" t="s">
        <v>211</v>
      </c>
      <c r="G54" s="364">
        <v>0</v>
      </c>
      <c r="H54" s="364">
        <v>0</v>
      </c>
      <c r="I54" s="364">
        <v>0</v>
      </c>
      <c r="J54" s="364">
        <v>0</v>
      </c>
      <c r="K54" s="364">
        <v>0</v>
      </c>
      <c r="L54" s="364">
        <v>0</v>
      </c>
      <c r="M54" s="364">
        <v>0</v>
      </c>
      <c r="N54" s="364">
        <v>0</v>
      </c>
      <c r="O54" s="364">
        <v>0</v>
      </c>
      <c r="P54" s="364">
        <v>0</v>
      </c>
      <c r="Q54" s="364">
        <v>0</v>
      </c>
      <c r="R54" s="364">
        <v>0</v>
      </c>
      <c r="S54" s="364">
        <v>0</v>
      </c>
      <c r="T54" s="364">
        <v>0</v>
      </c>
      <c r="U54" s="364">
        <v>0</v>
      </c>
      <c r="V54" s="364">
        <v>0</v>
      </c>
      <c r="W54" s="364">
        <v>0</v>
      </c>
      <c r="X54" s="364">
        <v>0</v>
      </c>
      <c r="Y54" s="364">
        <v>0</v>
      </c>
      <c r="Z54" s="364">
        <v>0</v>
      </c>
      <c r="AA54" s="364">
        <v>0</v>
      </c>
      <c r="AB54" s="364">
        <v>0</v>
      </c>
      <c r="AC54" s="364">
        <v>0</v>
      </c>
      <c r="AD54" s="364">
        <v>0</v>
      </c>
      <c r="AE54" s="364">
        <v>0</v>
      </c>
      <c r="AF54" s="364">
        <v>0</v>
      </c>
      <c r="AG54" s="364">
        <v>0</v>
      </c>
      <c r="AH54" s="364">
        <v>0</v>
      </c>
      <c r="AI54" s="364">
        <v>0</v>
      </c>
      <c r="AJ54" s="364">
        <v>0</v>
      </c>
      <c r="AK54" s="364">
        <v>0</v>
      </c>
      <c r="AL54" s="364">
        <v>0</v>
      </c>
      <c r="AM54" s="364">
        <v>0</v>
      </c>
      <c r="AN54" s="364">
        <v>0</v>
      </c>
      <c r="AO54" s="364">
        <v>0</v>
      </c>
      <c r="AP54" s="364">
        <v>0</v>
      </c>
      <c r="AQ54" s="364">
        <v>0</v>
      </c>
      <c r="AR54" s="364">
        <v>0</v>
      </c>
      <c r="AS54" s="364">
        <v>0</v>
      </c>
      <c r="AT54" s="364">
        <v>0</v>
      </c>
      <c r="AU54" s="364">
        <v>0</v>
      </c>
      <c r="AV54" s="364">
        <v>0</v>
      </c>
      <c r="AW54" s="364">
        <v>0</v>
      </c>
      <c r="AX54" s="364">
        <v>0</v>
      </c>
      <c r="AY54" s="364">
        <v>0</v>
      </c>
      <c r="AZ54" s="363">
        <v>0</v>
      </c>
      <c r="BA54" s="364">
        <v>0</v>
      </c>
      <c r="BB54" s="364">
        <v>0</v>
      </c>
      <c r="BC54" s="364">
        <v>0</v>
      </c>
      <c r="BD54" s="364">
        <v>0</v>
      </c>
      <c r="BE54" s="364">
        <v>0</v>
      </c>
      <c r="BF54" s="364">
        <v>0</v>
      </c>
      <c r="BG54" s="364">
        <v>0</v>
      </c>
      <c r="BH54" s="364">
        <v>0</v>
      </c>
      <c r="BI54" s="364">
        <v>0</v>
      </c>
      <c r="BJ54" s="364">
        <v>0</v>
      </c>
      <c r="BK54" s="364">
        <v>0</v>
      </c>
      <c r="BL54" s="364">
        <v>0</v>
      </c>
      <c r="BM54" s="364">
        <v>0</v>
      </c>
      <c r="BN54" s="364">
        <v>0</v>
      </c>
      <c r="BO54" s="364">
        <v>0</v>
      </c>
      <c r="BP54" s="364">
        <v>0</v>
      </c>
      <c r="BQ54" s="364">
        <v>0</v>
      </c>
      <c r="BR54" s="364">
        <v>0</v>
      </c>
      <c r="BS54" s="364">
        <v>0</v>
      </c>
      <c r="BT54" s="364">
        <v>0</v>
      </c>
      <c r="BU54" s="364">
        <v>0</v>
      </c>
      <c r="BV54" s="364">
        <v>0</v>
      </c>
      <c r="BW54" s="364">
        <v>0</v>
      </c>
      <c r="BX54" s="364">
        <v>0</v>
      </c>
      <c r="BY54" s="364">
        <v>0</v>
      </c>
      <c r="BZ54" s="364">
        <v>0</v>
      </c>
      <c r="CA54" s="364">
        <v>0</v>
      </c>
      <c r="CB54" s="364">
        <v>0</v>
      </c>
      <c r="CC54" s="364">
        <v>0</v>
      </c>
      <c r="CD54" s="364">
        <v>0</v>
      </c>
      <c r="CE54" s="364">
        <v>0</v>
      </c>
      <c r="CF54" s="364">
        <v>0</v>
      </c>
      <c r="CG54" s="364">
        <v>0</v>
      </c>
      <c r="CH54" s="364">
        <v>0</v>
      </c>
      <c r="CI54" s="364">
        <v>0</v>
      </c>
      <c r="CJ54" s="364">
        <v>0</v>
      </c>
      <c r="CK54" s="364">
        <v>0</v>
      </c>
      <c r="CL54" s="364">
        <v>0</v>
      </c>
      <c r="CM54" s="364"/>
      <c r="CN54" s="364"/>
      <c r="CO54" s="364"/>
      <c r="CP54" s="364"/>
      <c r="CQ54" s="364"/>
      <c r="CR54" s="364"/>
      <c r="CS54" s="364"/>
      <c r="CT54" s="364"/>
      <c r="CU54" s="364"/>
      <c r="CV54" s="364"/>
      <c r="CW54" s="364"/>
      <c r="CX54" s="364"/>
      <c r="CY54" s="364"/>
      <c r="CZ54" s="364"/>
      <c r="DA54" s="364"/>
      <c r="DB54" s="364"/>
      <c r="DC54" s="364"/>
      <c r="DD54" s="364"/>
      <c r="DE54" s="364"/>
      <c r="DF54" s="364"/>
      <c r="DG54" s="364"/>
      <c r="DH54" s="364"/>
      <c r="DI54" s="364"/>
      <c r="DJ54" s="364"/>
      <c r="DK54" s="364"/>
      <c r="DL54" s="364"/>
      <c r="DM54" s="364"/>
      <c r="DN54" s="364"/>
      <c r="DO54" s="364"/>
      <c r="DP54" s="364"/>
      <c r="DQ54" s="364"/>
      <c r="DR54" s="364"/>
      <c r="DS54" s="364"/>
      <c r="DT54" s="364"/>
      <c r="DU54" s="364"/>
      <c r="DV54" s="364"/>
      <c r="DW54" s="649">
        <f t="shared" si="15"/>
        <v>0</v>
      </c>
      <c r="DX54" s="858"/>
      <c r="DY54" s="706"/>
      <c r="DZ54" s="872"/>
      <c r="EA54" s="873"/>
      <c r="EB54" s="859"/>
      <c r="EC54" s="859"/>
      <c r="ED54" s="859"/>
      <c r="EE54" s="859"/>
      <c r="EF54" s="861"/>
      <c r="EG54" s="1107"/>
      <c r="EI54" s="858"/>
      <c r="EJ54" s="877"/>
      <c r="ER54" s="497"/>
    </row>
    <row r="55" spans="1:148" s="278" customFormat="1" ht="24" outlineLevel="2" x14ac:dyDescent="0.2">
      <c r="A55" s="892" t="s">
        <v>378</v>
      </c>
      <c r="B55" s="897" t="s">
        <v>163</v>
      </c>
      <c r="C55" s="902">
        <v>14</v>
      </c>
      <c r="D55" s="863">
        <f>+'Detalle Plan de Adquisiciones'!L99</f>
        <v>572264106</v>
      </c>
      <c r="E55" s="866" t="s">
        <v>346</v>
      </c>
      <c r="F55" s="312" t="s">
        <v>410</v>
      </c>
      <c r="G55" s="354">
        <v>0</v>
      </c>
      <c r="H55" s="354">
        <v>0</v>
      </c>
      <c r="I55" s="354">
        <v>0</v>
      </c>
      <c r="J55" s="354">
        <v>0</v>
      </c>
      <c r="K55" s="354">
        <v>0</v>
      </c>
      <c r="L55" s="354">
        <v>0</v>
      </c>
      <c r="M55" s="354">
        <v>0</v>
      </c>
      <c r="N55" s="354">
        <v>0</v>
      </c>
      <c r="O55" s="354">
        <v>0</v>
      </c>
      <c r="P55" s="354">
        <v>0</v>
      </c>
      <c r="Q55" s="354">
        <v>0</v>
      </c>
      <c r="R55" s="354">
        <v>0</v>
      </c>
      <c r="S55" s="354">
        <v>0</v>
      </c>
      <c r="T55" s="354">
        <v>0</v>
      </c>
      <c r="U55" s="354">
        <v>0</v>
      </c>
      <c r="V55" s="354">
        <v>0</v>
      </c>
      <c r="W55" s="354">
        <v>0</v>
      </c>
      <c r="X55" s="354">
        <v>0</v>
      </c>
      <c r="Y55" s="354">
        <v>0</v>
      </c>
      <c r="Z55" s="354">
        <v>0</v>
      </c>
      <c r="AA55" s="354">
        <v>0</v>
      </c>
      <c r="AB55" s="354">
        <v>0</v>
      </c>
      <c r="AC55" s="354">
        <v>0</v>
      </c>
      <c r="AD55" s="354">
        <v>0</v>
      </c>
      <c r="AE55" s="354">
        <v>0</v>
      </c>
      <c r="AF55" s="354">
        <v>0</v>
      </c>
      <c r="AG55" s="354">
        <v>0</v>
      </c>
      <c r="AH55" s="354">
        <v>0</v>
      </c>
      <c r="AI55" s="354">
        <v>0</v>
      </c>
      <c r="AJ55" s="354">
        <v>0</v>
      </c>
      <c r="AK55" s="354">
        <v>0</v>
      </c>
      <c r="AL55" s="354">
        <v>0</v>
      </c>
      <c r="AM55" s="354">
        <v>0</v>
      </c>
      <c r="AN55" s="354">
        <v>0</v>
      </c>
      <c r="AO55" s="354">
        <v>0</v>
      </c>
      <c r="AP55" s="354">
        <v>0</v>
      </c>
      <c r="AQ55" s="354">
        <v>0</v>
      </c>
      <c r="AR55" s="354">
        <v>0</v>
      </c>
      <c r="AS55" s="354">
        <v>0</v>
      </c>
      <c r="AT55" s="354">
        <v>0</v>
      </c>
      <c r="AU55" s="354">
        <v>0</v>
      </c>
      <c r="AV55" s="354">
        <v>0</v>
      </c>
      <c r="AW55" s="354">
        <v>0</v>
      </c>
      <c r="AX55" s="354">
        <v>0</v>
      </c>
      <c r="AY55" s="354"/>
      <c r="AZ55" s="354"/>
      <c r="BA55" s="354">
        <v>0</v>
      </c>
      <c r="BB55" s="354">
        <v>0</v>
      </c>
      <c r="BC55" s="354">
        <v>0</v>
      </c>
      <c r="BD55" s="354">
        <v>0</v>
      </c>
      <c r="BE55" s="354">
        <v>0</v>
      </c>
      <c r="BF55" s="354">
        <v>0</v>
      </c>
      <c r="BG55" s="354">
        <v>0</v>
      </c>
      <c r="BH55" s="354">
        <v>0</v>
      </c>
      <c r="BI55" s="354">
        <v>0</v>
      </c>
      <c r="BJ55" s="354">
        <v>0</v>
      </c>
      <c r="BK55" s="354">
        <v>0</v>
      </c>
      <c r="BL55" s="354">
        <v>0</v>
      </c>
      <c r="BM55" s="354">
        <v>0</v>
      </c>
      <c r="BN55" s="354">
        <v>0</v>
      </c>
      <c r="BO55" s="354">
        <v>0</v>
      </c>
      <c r="BP55" s="354">
        <v>0</v>
      </c>
      <c r="BQ55" s="354">
        <v>0</v>
      </c>
      <c r="BR55" s="354">
        <v>0</v>
      </c>
      <c r="BS55" s="354">
        <v>0</v>
      </c>
      <c r="BT55" s="354">
        <v>0</v>
      </c>
      <c r="BU55" s="354">
        <v>0</v>
      </c>
      <c r="BV55" s="354">
        <v>0</v>
      </c>
      <c r="BW55" s="354">
        <v>0</v>
      </c>
      <c r="BX55" s="354">
        <v>0</v>
      </c>
      <c r="BY55" s="354">
        <v>0</v>
      </c>
      <c r="BZ55" s="354">
        <v>0</v>
      </c>
      <c r="CA55" s="560">
        <v>0</v>
      </c>
      <c r="CB55" s="560">
        <v>0</v>
      </c>
      <c r="CC55" s="560">
        <v>0</v>
      </c>
      <c r="CD55" s="560">
        <v>0</v>
      </c>
      <c r="CE55" s="560">
        <v>0</v>
      </c>
      <c r="CF55" s="560">
        <v>0</v>
      </c>
      <c r="CG55" s="560">
        <v>0</v>
      </c>
      <c r="CH55" s="560">
        <v>0</v>
      </c>
      <c r="CI55" s="560">
        <v>0</v>
      </c>
      <c r="CJ55" s="560">
        <v>0</v>
      </c>
      <c r="CK55" s="560">
        <v>0</v>
      </c>
      <c r="CL55" s="560">
        <v>0</v>
      </c>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543">
        <f>SUM(G55:DV55)</f>
        <v>0</v>
      </c>
      <c r="DX55" s="858">
        <f>DW55+DW56+DW57</f>
        <v>572.26410599999997</v>
      </c>
      <c r="DY55" s="704">
        <f>+DX55*1000000</f>
        <v>572264106</v>
      </c>
      <c r="DZ55" s="870">
        <f>+DY55-D55</f>
        <v>0</v>
      </c>
      <c r="EA55" s="873" t="str">
        <f>VLOOKUP(POA!$B55,'Detalle Plan de Adquisiciones'!$G$6:$AF$66,23,0)</f>
        <v>N/A</v>
      </c>
      <c r="EB55" s="859">
        <f>VLOOKUP(POA!$B55,'Detalle Plan de Adquisiciones'!$G$6:$AF$66,25,0)</f>
        <v>41540</v>
      </c>
      <c r="EC55" s="859">
        <f>EB55+30</f>
        <v>41570</v>
      </c>
      <c r="ED55" s="859" t="e">
        <f>CONCATENATE(MONTH(EA55),"-",YEAR(EA55))</f>
        <v>#VALUE!</v>
      </c>
      <c r="EE55" s="859" t="str">
        <f>CONCATENATE(MONTH(EB55),"-",YEAR(EB55))</f>
        <v>9-2013</v>
      </c>
      <c r="EF55" s="861" t="str">
        <f>CONCATENATE(MONTH(EC55),"-",YEAR(EC55))</f>
        <v>10-2013</v>
      </c>
      <c r="EG55" s="1105" t="e">
        <f>+YEAR(EA55)</f>
        <v>#VALUE!</v>
      </c>
      <c r="EH55" s="393">
        <f>+DY55</f>
        <v>572264106</v>
      </c>
      <c r="EI55" s="858">
        <f>+DW55+DW56+DW57</f>
        <v>572.26410599999997</v>
      </c>
      <c r="EJ55" s="877">
        <f>+D55/1000000-EI55</f>
        <v>0</v>
      </c>
      <c r="ER55" s="497"/>
    </row>
    <row r="56" spans="1:148" s="278" customFormat="1" outlineLevel="2" x14ac:dyDescent="0.2">
      <c r="A56" s="893"/>
      <c r="B56" s="886"/>
      <c r="C56" s="903"/>
      <c r="D56" s="864"/>
      <c r="E56" s="867"/>
      <c r="F56" s="311" t="s">
        <v>210</v>
      </c>
      <c r="G56" s="363">
        <v>0</v>
      </c>
      <c r="H56" s="363">
        <v>0</v>
      </c>
      <c r="I56" s="363">
        <v>0</v>
      </c>
      <c r="J56" s="363">
        <v>0</v>
      </c>
      <c r="K56" s="363">
        <v>0</v>
      </c>
      <c r="L56" s="363">
        <v>0</v>
      </c>
      <c r="M56" s="363">
        <v>0</v>
      </c>
      <c r="N56" s="363">
        <v>0</v>
      </c>
      <c r="O56" s="363">
        <v>0</v>
      </c>
      <c r="P56" s="363">
        <v>0</v>
      </c>
      <c r="Q56" s="363">
        <v>0</v>
      </c>
      <c r="R56" s="363">
        <v>0</v>
      </c>
      <c r="S56" s="363">
        <v>0</v>
      </c>
      <c r="T56" s="363">
        <v>0</v>
      </c>
      <c r="U56" s="363">
        <v>0</v>
      </c>
      <c r="V56" s="363">
        <v>0</v>
      </c>
      <c r="W56" s="363">
        <v>0</v>
      </c>
      <c r="X56" s="363">
        <v>0</v>
      </c>
      <c r="Y56" s="363">
        <v>0</v>
      </c>
      <c r="Z56" s="363">
        <v>0</v>
      </c>
      <c r="AA56" s="363">
        <v>0</v>
      </c>
      <c r="AB56" s="363">
        <v>0</v>
      </c>
      <c r="AC56" s="363">
        <v>0</v>
      </c>
      <c r="AD56" s="363">
        <v>0</v>
      </c>
      <c r="AE56" s="363">
        <v>0</v>
      </c>
      <c r="AF56" s="363">
        <v>0</v>
      </c>
      <c r="AG56" s="363">
        <v>0</v>
      </c>
      <c r="AH56" s="363">
        <v>0</v>
      </c>
      <c r="AI56" s="363"/>
      <c r="AJ56" s="363"/>
      <c r="AK56" s="363">
        <v>0</v>
      </c>
      <c r="AL56" s="363">
        <v>0</v>
      </c>
      <c r="AM56" s="363">
        <v>0</v>
      </c>
      <c r="AN56" s="363">
        <v>65.401612</v>
      </c>
      <c r="AO56" s="363">
        <v>32.700806</v>
      </c>
      <c r="AP56" s="363">
        <v>65.401612</v>
      </c>
      <c r="AQ56" s="363">
        <v>0</v>
      </c>
      <c r="AR56" s="363">
        <v>32.700806</v>
      </c>
      <c r="AS56" s="363">
        <v>32.700806</v>
      </c>
      <c r="AT56" s="363">
        <v>32.700806</v>
      </c>
      <c r="AU56" s="363">
        <v>32.700805000000003</v>
      </c>
      <c r="AV56" s="363">
        <v>32.700806</v>
      </c>
      <c r="AW56" s="363">
        <v>0</v>
      </c>
      <c r="AX56" s="363">
        <v>65.401612</v>
      </c>
      <c r="AY56" s="363">
        <v>0</v>
      </c>
      <c r="AZ56" s="363">
        <v>32.700806</v>
      </c>
      <c r="BA56" s="363">
        <v>32.700806</v>
      </c>
      <c r="BB56" s="363">
        <v>114.452823</v>
      </c>
      <c r="BC56" s="363">
        <v>0</v>
      </c>
      <c r="BD56" s="363">
        <v>0</v>
      </c>
      <c r="BE56" s="363">
        <v>0</v>
      </c>
      <c r="BF56" s="363">
        <v>0</v>
      </c>
      <c r="BG56" s="363">
        <v>0</v>
      </c>
      <c r="BH56" s="363">
        <v>0</v>
      </c>
      <c r="BI56" s="363">
        <v>0</v>
      </c>
      <c r="BJ56" s="363">
        <v>0</v>
      </c>
      <c r="BK56" s="363">
        <v>0</v>
      </c>
      <c r="BL56" s="363">
        <v>0</v>
      </c>
      <c r="BM56" s="363">
        <v>0</v>
      </c>
      <c r="BN56" s="363">
        <v>0</v>
      </c>
      <c r="BO56" s="363">
        <v>0</v>
      </c>
      <c r="BP56" s="363">
        <v>0</v>
      </c>
      <c r="BQ56" s="363">
        <v>0</v>
      </c>
      <c r="BR56" s="363">
        <v>0</v>
      </c>
      <c r="BS56" s="363">
        <v>0</v>
      </c>
      <c r="BT56" s="363">
        <v>0</v>
      </c>
      <c r="BU56" s="363">
        <v>0</v>
      </c>
      <c r="BV56" s="363">
        <v>0</v>
      </c>
      <c r="BW56" s="363">
        <v>0</v>
      </c>
      <c r="BX56" s="363">
        <v>0</v>
      </c>
      <c r="BY56" s="363">
        <v>0</v>
      </c>
      <c r="BZ56" s="363">
        <v>0</v>
      </c>
      <c r="CA56" s="363">
        <v>0</v>
      </c>
      <c r="CB56" s="363">
        <v>0</v>
      </c>
      <c r="CC56" s="363">
        <v>0</v>
      </c>
      <c r="CD56" s="363">
        <v>0</v>
      </c>
      <c r="CE56" s="363">
        <v>0</v>
      </c>
      <c r="CF56" s="363">
        <v>0</v>
      </c>
      <c r="CG56" s="363">
        <v>0</v>
      </c>
      <c r="CH56" s="363">
        <v>0</v>
      </c>
      <c r="CI56" s="363">
        <v>0</v>
      </c>
      <c r="CJ56" s="363">
        <v>0</v>
      </c>
      <c r="CK56" s="363">
        <v>0</v>
      </c>
      <c r="CL56" s="363">
        <v>0</v>
      </c>
      <c r="CM56" s="363"/>
      <c r="CN56" s="363"/>
      <c r="CO56" s="363"/>
      <c r="CP56" s="363"/>
      <c r="CQ56" s="363"/>
      <c r="CR56" s="363"/>
      <c r="CS56" s="363"/>
      <c r="CT56" s="363"/>
      <c r="CU56" s="363"/>
      <c r="CV56" s="363"/>
      <c r="CW56" s="363"/>
      <c r="CX56" s="363"/>
      <c r="CY56" s="363"/>
      <c r="CZ56" s="363"/>
      <c r="DA56" s="363"/>
      <c r="DB56" s="363"/>
      <c r="DC56" s="363"/>
      <c r="DD56" s="363"/>
      <c r="DE56" s="363"/>
      <c r="DF56" s="363"/>
      <c r="DG56" s="363"/>
      <c r="DH56" s="363"/>
      <c r="DI56" s="363"/>
      <c r="DJ56" s="363"/>
      <c r="DK56" s="363"/>
      <c r="DL56" s="363"/>
      <c r="DM56" s="363"/>
      <c r="DN56" s="363"/>
      <c r="DO56" s="363"/>
      <c r="DP56" s="363"/>
      <c r="DQ56" s="363"/>
      <c r="DR56" s="363"/>
      <c r="DS56" s="363"/>
      <c r="DT56" s="363"/>
      <c r="DU56" s="363"/>
      <c r="DV56" s="363"/>
      <c r="DW56" s="544">
        <f t="shared" si="15"/>
        <v>572.26410599999997</v>
      </c>
      <c r="DX56" s="858"/>
      <c r="DY56" s="705"/>
      <c r="DZ56" s="871"/>
      <c r="EA56" s="873"/>
      <c r="EB56" s="859"/>
      <c r="EC56" s="859"/>
      <c r="ED56" s="859"/>
      <c r="EE56" s="859"/>
      <c r="EF56" s="861"/>
      <c r="EG56" s="1106"/>
      <c r="EI56" s="858"/>
      <c r="EJ56" s="877"/>
      <c r="ER56" s="497"/>
    </row>
    <row r="57" spans="1:148" s="278" customFormat="1" ht="12.75" outlineLevel="2" thickBot="1" x14ac:dyDescent="0.25">
      <c r="A57" s="894"/>
      <c r="B57" s="887"/>
      <c r="C57" s="904"/>
      <c r="D57" s="865"/>
      <c r="E57" s="868"/>
      <c r="F57" s="315" t="s">
        <v>211</v>
      </c>
      <c r="G57" s="364">
        <v>0</v>
      </c>
      <c r="H57" s="364">
        <v>0</v>
      </c>
      <c r="I57" s="364">
        <v>0</v>
      </c>
      <c r="J57" s="364">
        <v>0</v>
      </c>
      <c r="K57" s="364">
        <v>0</v>
      </c>
      <c r="L57" s="364">
        <v>0</v>
      </c>
      <c r="M57" s="364">
        <v>0</v>
      </c>
      <c r="N57" s="364">
        <v>0</v>
      </c>
      <c r="O57" s="364">
        <v>0</v>
      </c>
      <c r="P57" s="364">
        <v>0</v>
      </c>
      <c r="Q57" s="364">
        <v>0</v>
      </c>
      <c r="R57" s="364">
        <v>0</v>
      </c>
      <c r="S57" s="364">
        <v>0</v>
      </c>
      <c r="T57" s="364">
        <v>0</v>
      </c>
      <c r="U57" s="364">
        <v>0</v>
      </c>
      <c r="V57" s="364">
        <v>0</v>
      </c>
      <c r="W57" s="364">
        <v>0</v>
      </c>
      <c r="X57" s="364">
        <v>0</v>
      </c>
      <c r="Y57" s="364">
        <v>0</v>
      </c>
      <c r="Z57" s="364">
        <v>0</v>
      </c>
      <c r="AA57" s="364">
        <v>0</v>
      </c>
      <c r="AB57" s="364">
        <v>0</v>
      </c>
      <c r="AC57" s="364">
        <v>0</v>
      </c>
      <c r="AD57" s="364">
        <v>0</v>
      </c>
      <c r="AE57" s="364">
        <v>0</v>
      </c>
      <c r="AF57" s="364">
        <v>0</v>
      </c>
      <c r="AG57" s="364">
        <v>0</v>
      </c>
      <c r="AH57" s="364">
        <v>0</v>
      </c>
      <c r="AI57" s="364">
        <v>0</v>
      </c>
      <c r="AJ57" s="364">
        <v>0</v>
      </c>
      <c r="AK57" s="364">
        <v>0</v>
      </c>
      <c r="AL57" s="364">
        <v>0</v>
      </c>
      <c r="AM57" s="364">
        <v>0</v>
      </c>
      <c r="AN57" s="364"/>
      <c r="AO57" s="364"/>
      <c r="AP57" s="364"/>
      <c r="AQ57" s="364"/>
      <c r="AR57" s="364"/>
      <c r="AS57" s="364"/>
      <c r="AT57" s="364"/>
      <c r="AU57" s="364"/>
      <c r="AV57" s="364"/>
      <c r="AW57" s="364"/>
      <c r="AX57" s="364"/>
      <c r="AY57" s="364">
        <v>0</v>
      </c>
      <c r="AZ57" s="364">
        <v>0</v>
      </c>
      <c r="BA57" s="364">
        <v>0</v>
      </c>
      <c r="BB57" s="364">
        <v>0</v>
      </c>
      <c r="BC57" s="364">
        <v>0</v>
      </c>
      <c r="BD57" s="364">
        <v>0</v>
      </c>
      <c r="BE57" s="364">
        <v>0</v>
      </c>
      <c r="BF57" s="364">
        <v>0</v>
      </c>
      <c r="BG57" s="364">
        <v>0</v>
      </c>
      <c r="BH57" s="364">
        <v>0</v>
      </c>
      <c r="BI57" s="364">
        <v>0</v>
      </c>
      <c r="BJ57" s="364">
        <v>0</v>
      </c>
      <c r="BK57" s="364">
        <v>0</v>
      </c>
      <c r="BL57" s="364">
        <v>0</v>
      </c>
      <c r="BM57" s="364">
        <v>0</v>
      </c>
      <c r="BN57" s="364">
        <v>0</v>
      </c>
      <c r="BO57" s="364">
        <v>0</v>
      </c>
      <c r="BP57" s="364">
        <v>0</v>
      </c>
      <c r="BQ57" s="364">
        <v>0</v>
      </c>
      <c r="BR57" s="364">
        <v>0</v>
      </c>
      <c r="BS57" s="364">
        <v>0</v>
      </c>
      <c r="BT57" s="364">
        <v>0</v>
      </c>
      <c r="BU57" s="364">
        <v>0</v>
      </c>
      <c r="BV57" s="364">
        <v>0</v>
      </c>
      <c r="BW57" s="364">
        <v>0</v>
      </c>
      <c r="BX57" s="364">
        <v>0</v>
      </c>
      <c r="BY57" s="364">
        <v>0</v>
      </c>
      <c r="BZ57" s="364">
        <v>0</v>
      </c>
      <c r="CA57" s="364">
        <v>0</v>
      </c>
      <c r="CB57" s="364">
        <v>0</v>
      </c>
      <c r="CC57" s="364">
        <v>0</v>
      </c>
      <c r="CD57" s="364">
        <v>0</v>
      </c>
      <c r="CE57" s="364">
        <v>0</v>
      </c>
      <c r="CF57" s="364">
        <v>0</v>
      </c>
      <c r="CG57" s="364">
        <v>0</v>
      </c>
      <c r="CH57" s="364">
        <v>0</v>
      </c>
      <c r="CI57" s="364">
        <v>0</v>
      </c>
      <c r="CJ57" s="364">
        <v>0</v>
      </c>
      <c r="CK57" s="364">
        <v>0</v>
      </c>
      <c r="CL57" s="364">
        <v>0</v>
      </c>
      <c r="CM57" s="364"/>
      <c r="CN57" s="364"/>
      <c r="CO57" s="364"/>
      <c r="CP57" s="364"/>
      <c r="CQ57" s="364"/>
      <c r="CR57" s="364"/>
      <c r="CS57" s="364"/>
      <c r="CT57" s="364"/>
      <c r="CU57" s="364"/>
      <c r="CV57" s="364"/>
      <c r="CW57" s="364"/>
      <c r="CX57" s="364"/>
      <c r="CY57" s="364"/>
      <c r="CZ57" s="364"/>
      <c r="DA57" s="364"/>
      <c r="DB57" s="364"/>
      <c r="DC57" s="364"/>
      <c r="DD57" s="364"/>
      <c r="DE57" s="364"/>
      <c r="DF57" s="364"/>
      <c r="DG57" s="364"/>
      <c r="DH57" s="364"/>
      <c r="DI57" s="364"/>
      <c r="DJ57" s="364"/>
      <c r="DK57" s="364"/>
      <c r="DL57" s="364"/>
      <c r="DM57" s="364"/>
      <c r="DN57" s="364"/>
      <c r="DO57" s="364"/>
      <c r="DP57" s="364"/>
      <c r="DQ57" s="364"/>
      <c r="DR57" s="364"/>
      <c r="DS57" s="364"/>
      <c r="DT57" s="364"/>
      <c r="DU57" s="364"/>
      <c r="DV57" s="364"/>
      <c r="DW57" s="649">
        <f t="shared" si="15"/>
        <v>0</v>
      </c>
      <c r="DX57" s="858"/>
      <c r="DY57" s="706"/>
      <c r="DZ57" s="872"/>
      <c r="EA57" s="873"/>
      <c r="EB57" s="859"/>
      <c r="EC57" s="859"/>
      <c r="ED57" s="859"/>
      <c r="EE57" s="859"/>
      <c r="EF57" s="861"/>
      <c r="EG57" s="1107"/>
      <c r="EI57" s="858"/>
      <c r="EJ57" s="877"/>
      <c r="ER57" s="497"/>
    </row>
    <row r="58" spans="1:148" s="278" customFormat="1" ht="24" outlineLevel="2" x14ac:dyDescent="0.2">
      <c r="A58" s="892" t="s">
        <v>406</v>
      </c>
      <c r="B58" s="897" t="s">
        <v>196</v>
      </c>
      <c r="C58" s="902">
        <v>7</v>
      </c>
      <c r="D58" s="863">
        <f>+'Detalle Plan de Adquisiciones'!L100</f>
        <v>399146720</v>
      </c>
      <c r="E58" s="866" t="s">
        <v>129</v>
      </c>
      <c r="F58" s="312" t="s">
        <v>410</v>
      </c>
      <c r="G58" s="354">
        <v>0</v>
      </c>
      <c r="H58" s="354">
        <v>0</v>
      </c>
      <c r="I58" s="354">
        <v>0</v>
      </c>
      <c r="J58" s="354">
        <v>0</v>
      </c>
      <c r="K58" s="354">
        <v>0</v>
      </c>
      <c r="L58" s="354">
        <v>0</v>
      </c>
      <c r="M58" s="354">
        <v>0</v>
      </c>
      <c r="N58" s="354">
        <v>0</v>
      </c>
      <c r="O58" s="354">
        <v>0</v>
      </c>
      <c r="P58" s="354">
        <v>0</v>
      </c>
      <c r="Q58" s="354">
        <v>0</v>
      </c>
      <c r="R58" s="354">
        <v>0</v>
      </c>
      <c r="S58" s="354">
        <v>0</v>
      </c>
      <c r="T58" s="354">
        <v>0</v>
      </c>
      <c r="U58" s="354">
        <v>0</v>
      </c>
      <c r="V58" s="354">
        <v>0</v>
      </c>
      <c r="W58" s="354">
        <v>0</v>
      </c>
      <c r="X58" s="354">
        <v>0</v>
      </c>
      <c r="Y58" s="354">
        <v>0</v>
      </c>
      <c r="Z58" s="354">
        <v>0</v>
      </c>
      <c r="AA58" s="354">
        <v>0</v>
      </c>
      <c r="AB58" s="354">
        <v>0</v>
      </c>
      <c r="AC58" s="354">
        <v>0</v>
      </c>
      <c r="AD58" s="354">
        <v>0</v>
      </c>
      <c r="AE58" s="354">
        <v>0</v>
      </c>
      <c r="AF58" s="354">
        <v>0</v>
      </c>
      <c r="AG58" s="354">
        <v>0</v>
      </c>
      <c r="AH58" s="354">
        <v>0</v>
      </c>
      <c r="AI58" s="354">
        <v>0</v>
      </c>
      <c r="AJ58" s="354">
        <v>0</v>
      </c>
      <c r="AK58" s="354">
        <v>0</v>
      </c>
      <c r="AL58" s="354">
        <v>0</v>
      </c>
      <c r="AM58" s="354">
        <v>0</v>
      </c>
      <c r="AN58" s="354">
        <v>0</v>
      </c>
      <c r="AO58" s="354">
        <v>0</v>
      </c>
      <c r="AP58" s="354">
        <v>0</v>
      </c>
      <c r="AQ58" s="354">
        <v>0</v>
      </c>
      <c r="AR58" s="354">
        <v>0</v>
      </c>
      <c r="AS58" s="354">
        <v>0</v>
      </c>
      <c r="AT58" s="354">
        <v>0</v>
      </c>
      <c r="AU58" s="354">
        <v>0</v>
      </c>
      <c r="AV58" s="354">
        <v>0</v>
      </c>
      <c r="AW58" s="354">
        <v>0</v>
      </c>
      <c r="AX58" s="354">
        <v>0</v>
      </c>
      <c r="AY58" s="354">
        <v>0</v>
      </c>
      <c r="AZ58" s="390">
        <v>0</v>
      </c>
      <c r="BA58" s="390">
        <v>0</v>
      </c>
      <c r="BB58" s="354">
        <v>0</v>
      </c>
      <c r="BC58" s="354">
        <v>0</v>
      </c>
      <c r="BD58" s="354">
        <v>0</v>
      </c>
      <c r="BE58" s="354">
        <v>0</v>
      </c>
      <c r="BF58" s="354">
        <v>0</v>
      </c>
      <c r="BG58" s="354">
        <v>0</v>
      </c>
      <c r="BH58" s="354">
        <v>0</v>
      </c>
      <c r="BI58" s="354">
        <v>0</v>
      </c>
      <c r="BJ58" s="354">
        <v>0</v>
      </c>
      <c r="BK58" s="354">
        <v>0</v>
      </c>
      <c r="BL58" s="354">
        <v>0</v>
      </c>
      <c r="BM58" s="354">
        <v>0</v>
      </c>
      <c r="BN58" s="354">
        <v>0</v>
      </c>
      <c r="BO58" s="354">
        <v>0</v>
      </c>
      <c r="BP58" s="354">
        <v>0</v>
      </c>
      <c r="BQ58" s="354">
        <v>0</v>
      </c>
      <c r="BR58" s="354">
        <v>0</v>
      </c>
      <c r="BS58" s="354">
        <v>0</v>
      </c>
      <c r="BT58" s="354">
        <v>0</v>
      </c>
      <c r="BU58" s="354">
        <v>0</v>
      </c>
      <c r="BV58" s="354">
        <v>0</v>
      </c>
      <c r="BW58" s="354">
        <v>0</v>
      </c>
      <c r="BX58" s="354">
        <v>0</v>
      </c>
      <c r="BY58" s="354">
        <v>0</v>
      </c>
      <c r="BZ58" s="354">
        <v>0</v>
      </c>
      <c r="CA58" s="560">
        <v>0</v>
      </c>
      <c r="CB58" s="560">
        <v>0</v>
      </c>
      <c r="CC58" s="560">
        <v>0</v>
      </c>
      <c r="CD58" s="560">
        <v>0</v>
      </c>
      <c r="CE58" s="560">
        <v>0</v>
      </c>
      <c r="CF58" s="560">
        <v>0</v>
      </c>
      <c r="CG58" s="560">
        <v>0</v>
      </c>
      <c r="CH58" s="560">
        <v>0</v>
      </c>
      <c r="CI58" s="560">
        <v>0</v>
      </c>
      <c r="CJ58" s="560">
        <v>0</v>
      </c>
      <c r="CK58" s="560">
        <v>0</v>
      </c>
      <c r="CL58" s="560">
        <v>0</v>
      </c>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543">
        <f>SUM(G58:DV58)</f>
        <v>0</v>
      </c>
      <c r="DX58" s="858">
        <f>DW58+DW59+DW60</f>
        <v>399.14672000000002</v>
      </c>
      <c r="DY58" s="704">
        <f>+DX58*1000000</f>
        <v>399146720</v>
      </c>
      <c r="DZ58" s="870">
        <f>+DY58-D58</f>
        <v>0</v>
      </c>
      <c r="EA58" s="873" t="e">
        <f>VLOOKUP(POA!$B58,'Detalle Plan de Adquisiciones'!$G$6:$AF$66,23,0)</f>
        <v>#N/A</v>
      </c>
      <c r="EB58" s="859" t="e">
        <f>VLOOKUP(POA!$B58,'Detalle Plan de Adquisiciones'!$G$6:$AF$66,25,0)</f>
        <v>#N/A</v>
      </c>
      <c r="EC58" s="859" t="e">
        <f>EB58+30</f>
        <v>#N/A</v>
      </c>
      <c r="ED58" s="859" t="e">
        <f>CONCATENATE(MONTH(EA58),"-",YEAR(EA58))</f>
        <v>#N/A</v>
      </c>
      <c r="EE58" s="859" t="e">
        <f>CONCATENATE(MONTH(EB58),"-",YEAR(EB58))</f>
        <v>#N/A</v>
      </c>
      <c r="EF58" s="861" t="e">
        <f>CONCATENATE(MONTH(EC58),"-",YEAR(EC58))</f>
        <v>#N/A</v>
      </c>
      <c r="EG58" s="1105" t="e">
        <f>+YEAR(EA58)</f>
        <v>#N/A</v>
      </c>
      <c r="EH58" s="393">
        <f>+DY58</f>
        <v>399146720</v>
      </c>
      <c r="EI58" s="858">
        <f>+DW58+DW59+DW60</f>
        <v>399.14672000000002</v>
      </c>
      <c r="EJ58" s="877">
        <f>+D58/1000000-EI58</f>
        <v>0</v>
      </c>
      <c r="ER58" s="497"/>
    </row>
    <row r="59" spans="1:148" s="278" customFormat="1" outlineLevel="2" x14ac:dyDescent="0.2">
      <c r="A59" s="893"/>
      <c r="B59" s="886"/>
      <c r="C59" s="903"/>
      <c r="D59" s="864"/>
      <c r="E59" s="867"/>
      <c r="F59" s="311" t="s">
        <v>210</v>
      </c>
      <c r="G59" s="363">
        <v>0</v>
      </c>
      <c r="H59" s="363">
        <v>0</v>
      </c>
      <c r="I59" s="363">
        <v>0</v>
      </c>
      <c r="J59" s="363">
        <v>0</v>
      </c>
      <c r="K59" s="363">
        <v>0</v>
      </c>
      <c r="L59" s="363">
        <v>0</v>
      </c>
      <c r="M59" s="363">
        <v>0</v>
      </c>
      <c r="N59" s="363">
        <v>0</v>
      </c>
      <c r="O59" s="363">
        <v>0</v>
      </c>
      <c r="P59" s="363">
        <v>0</v>
      </c>
      <c r="Q59" s="363">
        <v>0</v>
      </c>
      <c r="R59" s="363">
        <v>0</v>
      </c>
      <c r="S59" s="363">
        <v>0</v>
      </c>
      <c r="T59" s="363">
        <v>0</v>
      </c>
      <c r="U59" s="363">
        <v>0</v>
      </c>
      <c r="V59" s="363">
        <v>0</v>
      </c>
      <c r="W59" s="363">
        <v>0</v>
      </c>
      <c r="X59" s="363">
        <v>0</v>
      </c>
      <c r="Y59" s="363">
        <v>0</v>
      </c>
      <c r="Z59" s="363">
        <v>0</v>
      </c>
      <c r="AA59" s="363">
        <v>0</v>
      </c>
      <c r="AB59" s="363">
        <v>0</v>
      </c>
      <c r="AC59" s="363">
        <v>0</v>
      </c>
      <c r="AD59" s="363">
        <v>0</v>
      </c>
      <c r="AE59" s="363">
        <v>0</v>
      </c>
      <c r="AF59" s="363">
        <v>0</v>
      </c>
      <c r="AG59" s="363">
        <v>0</v>
      </c>
      <c r="AH59" s="363">
        <v>0</v>
      </c>
      <c r="AI59" s="363">
        <v>0</v>
      </c>
      <c r="AJ59" s="363">
        <v>75.056640000000002</v>
      </c>
      <c r="AK59" s="363">
        <v>0</v>
      </c>
      <c r="AL59" s="388"/>
      <c r="AM59" s="363">
        <v>75.056640000000002</v>
      </c>
      <c r="AN59" s="363">
        <v>0</v>
      </c>
      <c r="AO59" s="363">
        <v>75.056640000000002</v>
      </c>
      <c r="AP59" s="363">
        <v>71.375264000000001</v>
      </c>
      <c r="AQ59" s="385">
        <v>0</v>
      </c>
      <c r="AR59" s="385">
        <v>0</v>
      </c>
      <c r="AS59" s="385">
        <v>0</v>
      </c>
      <c r="AT59" s="385">
        <v>0</v>
      </c>
      <c r="AU59" s="385">
        <v>0</v>
      </c>
      <c r="AV59" s="385">
        <v>0</v>
      </c>
      <c r="AW59" s="385">
        <v>0</v>
      </c>
      <c r="AX59" s="385">
        <v>22.772192</v>
      </c>
      <c r="AY59" s="385">
        <v>0</v>
      </c>
      <c r="AZ59" s="385">
        <v>79.829343999999992</v>
      </c>
      <c r="BA59" s="363">
        <v>0</v>
      </c>
      <c r="BB59" s="363">
        <v>0</v>
      </c>
      <c r="BC59" s="363">
        <v>0</v>
      </c>
      <c r="BD59" s="363">
        <v>0</v>
      </c>
      <c r="BE59" s="363">
        <v>0</v>
      </c>
      <c r="BF59" s="363">
        <v>0</v>
      </c>
      <c r="BG59" s="363">
        <v>0</v>
      </c>
      <c r="BH59" s="363">
        <v>0</v>
      </c>
      <c r="BI59" s="363">
        <v>0</v>
      </c>
      <c r="BJ59" s="363">
        <v>0</v>
      </c>
      <c r="BK59" s="363">
        <v>0</v>
      </c>
      <c r="BL59" s="363">
        <v>0</v>
      </c>
      <c r="BM59" s="363">
        <v>0</v>
      </c>
      <c r="BN59" s="363">
        <v>0</v>
      </c>
      <c r="BO59" s="363">
        <v>0</v>
      </c>
      <c r="BP59" s="363">
        <v>0</v>
      </c>
      <c r="BQ59" s="363">
        <v>0</v>
      </c>
      <c r="BR59" s="363">
        <v>0</v>
      </c>
      <c r="BS59" s="363">
        <v>0</v>
      </c>
      <c r="BT59" s="363">
        <v>0</v>
      </c>
      <c r="BU59" s="363">
        <v>0</v>
      </c>
      <c r="BV59" s="363">
        <v>0</v>
      </c>
      <c r="BW59" s="363">
        <v>0</v>
      </c>
      <c r="BX59" s="363">
        <v>0</v>
      </c>
      <c r="BY59" s="363">
        <v>0</v>
      </c>
      <c r="BZ59" s="363">
        <v>0</v>
      </c>
      <c r="CA59" s="363">
        <v>0</v>
      </c>
      <c r="CB59" s="363">
        <v>0</v>
      </c>
      <c r="CC59" s="363">
        <v>0</v>
      </c>
      <c r="CD59" s="363">
        <v>0</v>
      </c>
      <c r="CE59" s="363">
        <v>0</v>
      </c>
      <c r="CF59" s="363">
        <v>0</v>
      </c>
      <c r="CG59" s="363">
        <v>0</v>
      </c>
      <c r="CH59" s="363">
        <v>0</v>
      </c>
      <c r="CI59" s="363">
        <v>0</v>
      </c>
      <c r="CJ59" s="363">
        <v>0</v>
      </c>
      <c r="CK59" s="363">
        <v>0</v>
      </c>
      <c r="CL59" s="363">
        <v>0</v>
      </c>
      <c r="CM59" s="363"/>
      <c r="CN59" s="363"/>
      <c r="CO59" s="363"/>
      <c r="CP59" s="363"/>
      <c r="CQ59" s="363"/>
      <c r="CR59" s="363"/>
      <c r="CS59" s="363"/>
      <c r="CT59" s="363"/>
      <c r="CU59" s="363"/>
      <c r="CV59" s="363"/>
      <c r="CW59" s="363"/>
      <c r="CX59" s="363"/>
      <c r="CY59" s="363"/>
      <c r="CZ59" s="363"/>
      <c r="DA59" s="363"/>
      <c r="DB59" s="363"/>
      <c r="DC59" s="363"/>
      <c r="DD59" s="363"/>
      <c r="DE59" s="363"/>
      <c r="DF59" s="363"/>
      <c r="DG59" s="363"/>
      <c r="DH59" s="363"/>
      <c r="DI59" s="363"/>
      <c r="DJ59" s="363"/>
      <c r="DK59" s="363"/>
      <c r="DL59" s="363"/>
      <c r="DM59" s="363"/>
      <c r="DN59" s="363"/>
      <c r="DO59" s="363"/>
      <c r="DP59" s="363"/>
      <c r="DQ59" s="363"/>
      <c r="DR59" s="363"/>
      <c r="DS59" s="363"/>
      <c r="DT59" s="363"/>
      <c r="DU59" s="363"/>
      <c r="DV59" s="363"/>
      <c r="DW59" s="544">
        <f t="shared" si="15"/>
        <v>399.14672000000002</v>
      </c>
      <c r="DX59" s="858"/>
      <c r="DY59" s="705"/>
      <c r="DZ59" s="871"/>
      <c r="EA59" s="873"/>
      <c r="EB59" s="859"/>
      <c r="EC59" s="859"/>
      <c r="ED59" s="859"/>
      <c r="EE59" s="859"/>
      <c r="EF59" s="861"/>
      <c r="EG59" s="1106"/>
      <c r="EI59" s="858"/>
      <c r="EJ59" s="877"/>
      <c r="ER59" s="497"/>
    </row>
    <row r="60" spans="1:148" s="278" customFormat="1" ht="12.75" outlineLevel="2" thickBot="1" x14ac:dyDescent="0.25">
      <c r="A60" s="894"/>
      <c r="B60" s="887"/>
      <c r="C60" s="904"/>
      <c r="D60" s="865"/>
      <c r="E60" s="868"/>
      <c r="F60" s="315" t="s">
        <v>211</v>
      </c>
      <c r="G60" s="364">
        <v>0</v>
      </c>
      <c r="H60" s="364">
        <v>0</v>
      </c>
      <c r="I60" s="364">
        <v>0</v>
      </c>
      <c r="J60" s="364">
        <v>0</v>
      </c>
      <c r="K60" s="364">
        <v>0</v>
      </c>
      <c r="L60" s="364">
        <v>0</v>
      </c>
      <c r="M60" s="364">
        <v>0</v>
      </c>
      <c r="N60" s="364">
        <v>0</v>
      </c>
      <c r="O60" s="364">
        <v>0</v>
      </c>
      <c r="P60" s="364">
        <v>0</v>
      </c>
      <c r="Q60" s="364">
        <v>0</v>
      </c>
      <c r="R60" s="364">
        <v>0</v>
      </c>
      <c r="S60" s="364">
        <v>0</v>
      </c>
      <c r="T60" s="364">
        <v>0</v>
      </c>
      <c r="U60" s="364">
        <v>0</v>
      </c>
      <c r="V60" s="364">
        <v>0</v>
      </c>
      <c r="W60" s="364">
        <v>0</v>
      </c>
      <c r="X60" s="364">
        <v>0</v>
      </c>
      <c r="Y60" s="364">
        <v>0</v>
      </c>
      <c r="Z60" s="364">
        <v>0</v>
      </c>
      <c r="AA60" s="364">
        <v>0</v>
      </c>
      <c r="AB60" s="364">
        <v>0</v>
      </c>
      <c r="AC60" s="364">
        <v>0</v>
      </c>
      <c r="AD60" s="364">
        <v>0</v>
      </c>
      <c r="AE60" s="364">
        <v>0</v>
      </c>
      <c r="AF60" s="364">
        <v>0</v>
      </c>
      <c r="AG60" s="364">
        <v>0</v>
      </c>
      <c r="AH60" s="364">
        <v>0</v>
      </c>
      <c r="AI60" s="364">
        <v>0</v>
      </c>
      <c r="AJ60" s="364">
        <v>0</v>
      </c>
      <c r="AK60" s="364">
        <v>0</v>
      </c>
      <c r="AL60" s="364">
        <v>0</v>
      </c>
      <c r="AM60" s="364"/>
      <c r="AN60" s="364"/>
      <c r="AO60" s="364"/>
      <c r="AP60" s="364"/>
      <c r="AQ60" s="364">
        <v>0</v>
      </c>
      <c r="AR60" s="364">
        <v>0</v>
      </c>
      <c r="AS60" s="364"/>
      <c r="AT60" s="364">
        <v>0</v>
      </c>
      <c r="AU60" s="364">
        <v>0</v>
      </c>
      <c r="AV60" s="364">
        <v>0</v>
      </c>
      <c r="AW60" s="364">
        <v>0</v>
      </c>
      <c r="AX60" s="364">
        <v>0</v>
      </c>
      <c r="AY60" s="364">
        <v>0</v>
      </c>
      <c r="AZ60" s="364">
        <v>0</v>
      </c>
      <c r="BA60" s="364">
        <v>0</v>
      </c>
      <c r="BB60" s="364">
        <v>0</v>
      </c>
      <c r="BC60" s="364">
        <v>0</v>
      </c>
      <c r="BD60" s="364">
        <v>0</v>
      </c>
      <c r="BE60" s="364">
        <v>0</v>
      </c>
      <c r="BF60" s="364">
        <v>0</v>
      </c>
      <c r="BG60" s="364">
        <v>0</v>
      </c>
      <c r="BH60" s="364">
        <v>0</v>
      </c>
      <c r="BI60" s="364">
        <v>0</v>
      </c>
      <c r="BJ60" s="364">
        <v>0</v>
      </c>
      <c r="BK60" s="364">
        <v>0</v>
      </c>
      <c r="BL60" s="364">
        <v>0</v>
      </c>
      <c r="BM60" s="364">
        <v>0</v>
      </c>
      <c r="BN60" s="364">
        <v>0</v>
      </c>
      <c r="BO60" s="364">
        <v>0</v>
      </c>
      <c r="BP60" s="364">
        <v>0</v>
      </c>
      <c r="BQ60" s="364">
        <v>0</v>
      </c>
      <c r="BR60" s="364">
        <v>0</v>
      </c>
      <c r="BS60" s="364">
        <v>0</v>
      </c>
      <c r="BT60" s="364">
        <v>0</v>
      </c>
      <c r="BU60" s="364">
        <v>0</v>
      </c>
      <c r="BV60" s="364">
        <v>0</v>
      </c>
      <c r="BW60" s="364">
        <v>0</v>
      </c>
      <c r="BX60" s="364">
        <v>0</v>
      </c>
      <c r="BY60" s="364">
        <v>0</v>
      </c>
      <c r="BZ60" s="364">
        <v>0</v>
      </c>
      <c r="CA60" s="364">
        <v>0</v>
      </c>
      <c r="CB60" s="364">
        <v>0</v>
      </c>
      <c r="CC60" s="364">
        <v>0</v>
      </c>
      <c r="CD60" s="364">
        <v>0</v>
      </c>
      <c r="CE60" s="364">
        <v>0</v>
      </c>
      <c r="CF60" s="364">
        <v>0</v>
      </c>
      <c r="CG60" s="364">
        <v>0</v>
      </c>
      <c r="CH60" s="364">
        <v>0</v>
      </c>
      <c r="CI60" s="364">
        <v>0</v>
      </c>
      <c r="CJ60" s="364">
        <v>0</v>
      </c>
      <c r="CK60" s="364">
        <v>0</v>
      </c>
      <c r="CL60" s="364">
        <v>0</v>
      </c>
      <c r="CM60" s="364"/>
      <c r="CN60" s="364"/>
      <c r="CO60" s="364"/>
      <c r="CP60" s="364"/>
      <c r="CQ60" s="364"/>
      <c r="CR60" s="364"/>
      <c r="CS60" s="364"/>
      <c r="CT60" s="364"/>
      <c r="CU60" s="364"/>
      <c r="CV60" s="364"/>
      <c r="CW60" s="364"/>
      <c r="CX60" s="364"/>
      <c r="CY60" s="364"/>
      <c r="CZ60" s="364"/>
      <c r="DA60" s="364"/>
      <c r="DB60" s="364"/>
      <c r="DC60" s="364"/>
      <c r="DD60" s="364"/>
      <c r="DE60" s="364"/>
      <c r="DF60" s="364"/>
      <c r="DG60" s="364"/>
      <c r="DH60" s="364"/>
      <c r="DI60" s="364"/>
      <c r="DJ60" s="364"/>
      <c r="DK60" s="364"/>
      <c r="DL60" s="364"/>
      <c r="DM60" s="364"/>
      <c r="DN60" s="364"/>
      <c r="DO60" s="364"/>
      <c r="DP60" s="364"/>
      <c r="DQ60" s="364"/>
      <c r="DR60" s="364"/>
      <c r="DS60" s="364"/>
      <c r="DT60" s="364"/>
      <c r="DU60" s="364"/>
      <c r="DV60" s="364"/>
      <c r="DW60" s="649">
        <f t="shared" si="15"/>
        <v>0</v>
      </c>
      <c r="DX60" s="858"/>
      <c r="DY60" s="706"/>
      <c r="DZ60" s="872"/>
      <c r="EA60" s="873"/>
      <c r="EB60" s="859"/>
      <c r="EC60" s="859"/>
      <c r="ED60" s="859"/>
      <c r="EE60" s="859"/>
      <c r="EF60" s="861"/>
      <c r="EG60" s="1107"/>
      <c r="EI60" s="858"/>
      <c r="EJ60" s="877"/>
      <c r="ER60" s="497"/>
    </row>
    <row r="61" spans="1:148" s="278" customFormat="1" ht="13.5" customHeight="1" outlineLevel="2" thickBot="1" x14ac:dyDescent="0.25">
      <c r="A61" s="892" t="s">
        <v>379</v>
      </c>
      <c r="B61" s="897" t="s">
        <v>212</v>
      </c>
      <c r="C61" s="902">
        <v>6</v>
      </c>
      <c r="D61" s="863">
        <f>+IFERROR(VLOOKUP(B61,'Detalle Plan de Adquisiciones'!$G$6:$M$66,7,FALSE),0)</f>
        <v>1857246346</v>
      </c>
      <c r="E61" s="866" t="str">
        <f>+'Detalle Plan de Adquisiciones'!F14</f>
        <v>CONSTRUCCIÓN  DEL INTERCAMBIADOR VIAL [IV-3] EN EL ESTADIO EUGENIO VALDES DEL PRADO, PERTENECIENTE AL SISTEMA ESTRATEGICO DE TRANSPORTE PUBLICO "SETP" DE LA CIUDAD DE MONTERIA</v>
      </c>
      <c r="F61" s="312" t="s">
        <v>410</v>
      </c>
      <c r="G61" s="354">
        <v>0</v>
      </c>
      <c r="H61" s="354">
        <v>0</v>
      </c>
      <c r="I61" s="354">
        <v>0</v>
      </c>
      <c r="J61" s="354">
        <v>0</v>
      </c>
      <c r="K61" s="354">
        <v>0</v>
      </c>
      <c r="L61" s="354">
        <v>0</v>
      </c>
      <c r="M61" s="354">
        <v>0</v>
      </c>
      <c r="N61" s="354">
        <v>0</v>
      </c>
      <c r="O61" s="354">
        <v>0</v>
      </c>
      <c r="P61" s="354">
        <v>0</v>
      </c>
      <c r="Q61" s="354">
        <v>0</v>
      </c>
      <c r="R61" s="354">
        <v>0</v>
      </c>
      <c r="S61" s="354">
        <v>0</v>
      </c>
      <c r="T61" s="354">
        <v>0</v>
      </c>
      <c r="U61" s="354">
        <v>0</v>
      </c>
      <c r="V61" s="354">
        <v>0</v>
      </c>
      <c r="W61" s="354">
        <v>0</v>
      </c>
      <c r="X61" s="354">
        <v>0</v>
      </c>
      <c r="Y61" s="354">
        <v>0</v>
      </c>
      <c r="Z61" s="354">
        <v>0</v>
      </c>
      <c r="AA61" s="354">
        <v>0</v>
      </c>
      <c r="AB61" s="354">
        <v>0</v>
      </c>
      <c r="AC61" s="354">
        <v>0</v>
      </c>
      <c r="AD61" s="354">
        <v>0</v>
      </c>
      <c r="AE61" s="354">
        <v>0</v>
      </c>
      <c r="AF61" s="354">
        <v>0</v>
      </c>
      <c r="AG61" s="354">
        <v>0</v>
      </c>
      <c r="AH61" s="354">
        <v>0</v>
      </c>
      <c r="AI61" s="354">
        <v>0</v>
      </c>
      <c r="AJ61" s="354">
        <v>0</v>
      </c>
      <c r="AK61" s="354">
        <v>0</v>
      </c>
      <c r="AL61" s="354">
        <v>0</v>
      </c>
      <c r="AM61" s="354">
        <v>0</v>
      </c>
      <c r="AN61" s="354">
        <v>0</v>
      </c>
      <c r="AO61" s="354">
        <v>0</v>
      </c>
      <c r="AP61" s="354">
        <v>0</v>
      </c>
      <c r="AQ61" s="354">
        <v>0</v>
      </c>
      <c r="AR61" s="354">
        <v>0</v>
      </c>
      <c r="AS61" s="354">
        <v>0</v>
      </c>
      <c r="AT61" s="354">
        <v>0</v>
      </c>
      <c r="AU61" s="354">
        <v>0</v>
      </c>
      <c r="AV61" s="354">
        <v>0</v>
      </c>
      <c r="AW61" s="354">
        <v>0</v>
      </c>
      <c r="AX61" s="354"/>
      <c r="AY61" s="354">
        <v>0</v>
      </c>
      <c r="AZ61" s="354">
        <v>0</v>
      </c>
      <c r="BA61" s="354">
        <v>0</v>
      </c>
      <c r="BB61" s="364">
        <v>237.36080533334871</v>
      </c>
      <c r="BC61" s="354">
        <v>0</v>
      </c>
      <c r="BD61" s="354">
        <v>301.95693499999999</v>
      </c>
      <c r="BE61" s="354">
        <v>364.69778300000002</v>
      </c>
      <c r="BF61" s="354">
        <v>0</v>
      </c>
      <c r="BG61" s="354">
        <v>0</v>
      </c>
      <c r="BH61" s="354">
        <v>97.242633999999995</v>
      </c>
      <c r="BI61" s="354">
        <v>0</v>
      </c>
      <c r="BJ61" s="354">
        <v>0</v>
      </c>
      <c r="BK61" s="400">
        <v>186.881879</v>
      </c>
      <c r="BL61" s="354">
        <v>0</v>
      </c>
      <c r="BM61" s="354">
        <v>0</v>
      </c>
      <c r="BN61" s="354">
        <v>0</v>
      </c>
      <c r="BO61" s="354">
        <v>0</v>
      </c>
      <c r="BP61" s="354">
        <v>0</v>
      </c>
      <c r="BQ61" s="354">
        <v>0</v>
      </c>
      <c r="BR61" s="354">
        <v>0</v>
      </c>
      <c r="BS61" s="354">
        <v>0</v>
      </c>
      <c r="BT61" s="354">
        <v>0</v>
      </c>
      <c r="BU61" s="354">
        <v>0</v>
      </c>
      <c r="BV61" s="354">
        <v>0</v>
      </c>
      <c r="BW61" s="354">
        <v>0</v>
      </c>
      <c r="BX61" s="354">
        <v>0</v>
      </c>
      <c r="BY61" s="354">
        <v>0</v>
      </c>
      <c r="BZ61" s="354">
        <v>0</v>
      </c>
      <c r="CA61" s="354">
        <v>0</v>
      </c>
      <c r="CB61" s="354">
        <v>0</v>
      </c>
      <c r="CC61" s="354">
        <v>0</v>
      </c>
      <c r="CD61" s="354">
        <v>0</v>
      </c>
      <c r="CE61" s="354">
        <v>0</v>
      </c>
      <c r="CF61" s="354">
        <v>0</v>
      </c>
      <c r="CG61" s="354">
        <v>0</v>
      </c>
      <c r="CH61" s="354">
        <v>0</v>
      </c>
      <c r="CI61" s="354">
        <v>0</v>
      </c>
      <c r="CJ61" s="354">
        <v>0</v>
      </c>
      <c r="CK61" s="354">
        <v>0</v>
      </c>
      <c r="CL61" s="354">
        <v>0</v>
      </c>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543">
        <f>SUM(G61:DV61)</f>
        <v>1188.1400363333487</v>
      </c>
      <c r="DX61" s="869">
        <f>DW61+DW62+DW63</f>
        <v>1857.2463459999999</v>
      </c>
      <c r="DY61" s="704">
        <f>+DX61*1000000</f>
        <v>1857246346</v>
      </c>
      <c r="DZ61" s="969">
        <f>+DY61-D61</f>
        <v>0</v>
      </c>
      <c r="EA61" s="1049">
        <f>VLOOKUP(POA!$B61,'Detalle Plan de Adquisiciones'!$G$6:$AF$66,23,0)</f>
        <v>41429</v>
      </c>
      <c r="EB61" s="859">
        <f>VLOOKUP(POA!$B61,'Detalle Plan de Adquisiciones'!$G$6:$AF$66,25,0)</f>
        <v>41612</v>
      </c>
      <c r="EC61" s="859">
        <f>EB61+30</f>
        <v>41642</v>
      </c>
      <c r="ED61" s="859" t="str">
        <f>CONCATENATE(MONTH(EA61),"-",YEAR(EA61))</f>
        <v>6-2013</v>
      </c>
      <c r="EE61" s="859" t="str">
        <f>CONCATENATE(MONTH(EB61),"-",YEAR(EB61))</f>
        <v>12-2013</v>
      </c>
      <c r="EF61" s="861" t="str">
        <f>CONCATENATE(MONTH(EC61),"-",YEAR(EC61))</f>
        <v>1-2014</v>
      </c>
      <c r="EG61" s="1105">
        <f>+YEAR(EA61)</f>
        <v>2013</v>
      </c>
      <c r="EH61" s="393">
        <f>+DY61</f>
        <v>1857246346</v>
      </c>
      <c r="EI61" s="858">
        <f>+DW61+DW62+DW63</f>
        <v>1857.2463459999999</v>
      </c>
      <c r="EJ61" s="877">
        <f>+D61/1000000-EI61</f>
        <v>0</v>
      </c>
      <c r="ER61" s="497"/>
    </row>
    <row r="62" spans="1:148" s="279" customFormat="1" ht="12.75" customHeight="1" outlineLevel="2" x14ac:dyDescent="0.2">
      <c r="A62" s="893"/>
      <c r="B62" s="886"/>
      <c r="C62" s="903"/>
      <c r="D62" s="864"/>
      <c r="E62" s="867"/>
      <c r="F62" s="311" t="s">
        <v>210</v>
      </c>
      <c r="G62" s="363">
        <v>0</v>
      </c>
      <c r="H62" s="363">
        <v>0</v>
      </c>
      <c r="I62" s="363">
        <v>0</v>
      </c>
      <c r="J62" s="363">
        <v>0</v>
      </c>
      <c r="K62" s="363">
        <v>0</v>
      </c>
      <c r="L62" s="363">
        <v>0</v>
      </c>
      <c r="M62" s="363">
        <v>0</v>
      </c>
      <c r="N62" s="363">
        <v>0</v>
      </c>
      <c r="O62" s="363">
        <v>0</v>
      </c>
      <c r="P62" s="363">
        <v>0</v>
      </c>
      <c r="Q62" s="363">
        <v>0</v>
      </c>
      <c r="R62" s="363">
        <v>0</v>
      </c>
      <c r="S62" s="363">
        <v>0</v>
      </c>
      <c r="T62" s="363">
        <v>0</v>
      </c>
      <c r="U62" s="363">
        <v>0</v>
      </c>
      <c r="V62" s="363">
        <v>0</v>
      </c>
      <c r="W62" s="363">
        <v>0</v>
      </c>
      <c r="X62" s="363">
        <v>0</v>
      </c>
      <c r="Y62" s="363">
        <v>0</v>
      </c>
      <c r="Z62" s="363">
        <v>0</v>
      </c>
      <c r="AA62" s="363">
        <v>0</v>
      </c>
      <c r="AB62" s="363">
        <v>0</v>
      </c>
      <c r="AC62" s="363">
        <v>0</v>
      </c>
      <c r="AD62" s="363">
        <v>0</v>
      </c>
      <c r="AE62" s="363">
        <v>0</v>
      </c>
      <c r="AF62" s="363">
        <v>0</v>
      </c>
      <c r="AG62" s="363">
        <v>0</v>
      </c>
      <c r="AH62" s="363">
        <v>0</v>
      </c>
      <c r="AI62" s="363">
        <v>0</v>
      </c>
      <c r="AJ62" s="363">
        <v>0</v>
      </c>
      <c r="AK62" s="363">
        <v>0</v>
      </c>
      <c r="AL62" s="363">
        <v>0</v>
      </c>
      <c r="AM62" s="363">
        <v>0</v>
      </c>
      <c r="AN62" s="363">
        <v>0</v>
      </c>
      <c r="AO62" s="363">
        <v>0</v>
      </c>
      <c r="AP62" s="363">
        <v>0</v>
      </c>
      <c r="AQ62" s="363">
        <v>0</v>
      </c>
      <c r="AR62" s="363">
        <v>0</v>
      </c>
      <c r="AS62" s="363">
        <v>0</v>
      </c>
      <c r="AT62" s="363">
        <v>0</v>
      </c>
      <c r="AU62" s="363">
        <v>0</v>
      </c>
      <c r="AV62" s="363">
        <v>0</v>
      </c>
      <c r="AW62" s="363">
        <v>0</v>
      </c>
      <c r="AX62" s="363"/>
      <c r="AY62" s="363">
        <v>0</v>
      </c>
      <c r="AZ62" s="363">
        <v>0</v>
      </c>
      <c r="BA62" s="363">
        <v>0</v>
      </c>
      <c r="BB62" s="363">
        <v>0</v>
      </c>
      <c r="BC62" s="363">
        <v>0</v>
      </c>
      <c r="BD62" s="363">
        <v>0</v>
      </c>
      <c r="BE62" s="363">
        <v>0</v>
      </c>
      <c r="BF62" s="363">
        <v>0</v>
      </c>
      <c r="BG62" s="363">
        <v>0</v>
      </c>
      <c r="BH62" s="363">
        <v>0</v>
      </c>
      <c r="BI62" s="363">
        <v>0</v>
      </c>
      <c r="BJ62" s="363">
        <v>0</v>
      </c>
      <c r="BK62" s="363">
        <v>0</v>
      </c>
      <c r="BL62" s="363">
        <v>0</v>
      </c>
      <c r="BM62" s="363">
        <v>0</v>
      </c>
      <c r="BN62" s="363">
        <v>0</v>
      </c>
      <c r="BO62" s="363">
        <v>0</v>
      </c>
      <c r="BP62" s="363">
        <v>0</v>
      </c>
      <c r="BQ62" s="363">
        <v>0</v>
      </c>
      <c r="BR62" s="363">
        <v>0</v>
      </c>
      <c r="BS62" s="363">
        <v>0</v>
      </c>
      <c r="BT62" s="363">
        <v>0</v>
      </c>
      <c r="BU62" s="363">
        <v>0</v>
      </c>
      <c r="BV62" s="363">
        <v>0</v>
      </c>
      <c r="BW62" s="363">
        <v>0</v>
      </c>
      <c r="BX62" s="363">
        <v>0</v>
      </c>
      <c r="BY62" s="363">
        <v>0</v>
      </c>
      <c r="BZ62" s="363">
        <v>0</v>
      </c>
      <c r="CA62" s="363">
        <v>0</v>
      </c>
      <c r="CB62" s="363">
        <v>0</v>
      </c>
      <c r="CC62" s="363">
        <v>0</v>
      </c>
      <c r="CD62" s="363">
        <v>0</v>
      </c>
      <c r="CE62" s="363">
        <v>0</v>
      </c>
      <c r="CF62" s="363">
        <v>0</v>
      </c>
      <c r="CG62" s="363">
        <v>0</v>
      </c>
      <c r="CH62" s="363">
        <v>0</v>
      </c>
      <c r="CI62" s="363">
        <v>0</v>
      </c>
      <c r="CJ62" s="363">
        <v>0</v>
      </c>
      <c r="CK62" s="363">
        <v>0</v>
      </c>
      <c r="CL62" s="363">
        <v>0</v>
      </c>
      <c r="CM62" s="363"/>
      <c r="CN62" s="363"/>
      <c r="CO62" s="363"/>
      <c r="CP62" s="363"/>
      <c r="CQ62" s="363"/>
      <c r="CR62" s="363"/>
      <c r="CS62" s="363"/>
      <c r="CT62" s="363"/>
      <c r="CU62" s="363"/>
      <c r="CV62" s="363"/>
      <c r="CW62" s="363"/>
      <c r="CX62" s="363"/>
      <c r="CY62" s="363"/>
      <c r="CZ62" s="363"/>
      <c r="DA62" s="363"/>
      <c r="DB62" s="363"/>
      <c r="DC62" s="363"/>
      <c r="DD62" s="363"/>
      <c r="DE62" s="363"/>
      <c r="DF62" s="363"/>
      <c r="DG62" s="363"/>
      <c r="DH62" s="363"/>
      <c r="DI62" s="363"/>
      <c r="DJ62" s="363"/>
      <c r="DK62" s="363"/>
      <c r="DL62" s="363"/>
      <c r="DM62" s="363"/>
      <c r="DN62" s="363"/>
      <c r="DO62" s="363"/>
      <c r="DP62" s="363"/>
      <c r="DQ62" s="363"/>
      <c r="DR62" s="363"/>
      <c r="DS62" s="363"/>
      <c r="DT62" s="363"/>
      <c r="DU62" s="363"/>
      <c r="DV62" s="363"/>
      <c r="DW62" s="544">
        <f t="shared" si="15"/>
        <v>0</v>
      </c>
      <c r="DX62" s="890"/>
      <c r="DY62" s="705"/>
      <c r="DZ62" s="1047"/>
      <c r="EA62" s="1050"/>
      <c r="EB62" s="859"/>
      <c r="EC62" s="859"/>
      <c r="ED62" s="859"/>
      <c r="EE62" s="859"/>
      <c r="EF62" s="861"/>
      <c r="EG62" s="1106">
        <f>+YEAR(DZ62)</f>
        <v>1900</v>
      </c>
      <c r="EH62" s="278"/>
      <c r="EI62" s="858"/>
      <c r="EJ62" s="877"/>
      <c r="EO62" s="431"/>
      <c r="ER62" s="498"/>
    </row>
    <row r="63" spans="1:148" s="280" customFormat="1" ht="13.5" customHeight="1" outlineLevel="2" thickBot="1" x14ac:dyDescent="0.25">
      <c r="A63" s="894"/>
      <c r="B63" s="887"/>
      <c r="C63" s="904"/>
      <c r="D63" s="865"/>
      <c r="E63" s="868"/>
      <c r="F63" s="315" t="s">
        <v>211</v>
      </c>
      <c r="G63" s="364">
        <v>0</v>
      </c>
      <c r="H63" s="364">
        <v>0</v>
      </c>
      <c r="I63" s="364">
        <v>0</v>
      </c>
      <c r="J63" s="364">
        <v>0</v>
      </c>
      <c r="K63" s="364">
        <v>0</v>
      </c>
      <c r="L63" s="364">
        <v>0</v>
      </c>
      <c r="M63" s="364">
        <v>0</v>
      </c>
      <c r="N63" s="364">
        <v>0</v>
      </c>
      <c r="O63" s="364">
        <v>0</v>
      </c>
      <c r="P63" s="364">
        <v>0</v>
      </c>
      <c r="Q63" s="364">
        <v>0</v>
      </c>
      <c r="R63" s="364">
        <v>0</v>
      </c>
      <c r="S63" s="364">
        <v>0</v>
      </c>
      <c r="T63" s="364">
        <v>0</v>
      </c>
      <c r="U63" s="364">
        <v>0</v>
      </c>
      <c r="V63" s="364">
        <v>0</v>
      </c>
      <c r="W63" s="364">
        <v>0</v>
      </c>
      <c r="X63" s="364">
        <v>0</v>
      </c>
      <c r="Y63" s="364">
        <v>0</v>
      </c>
      <c r="Z63" s="364">
        <v>0</v>
      </c>
      <c r="AA63" s="364">
        <v>0</v>
      </c>
      <c r="AB63" s="364">
        <v>0</v>
      </c>
      <c r="AC63" s="364">
        <v>0</v>
      </c>
      <c r="AD63" s="364">
        <v>0</v>
      </c>
      <c r="AE63" s="364">
        <v>0</v>
      </c>
      <c r="AF63" s="364">
        <v>0</v>
      </c>
      <c r="AG63" s="364">
        <v>0</v>
      </c>
      <c r="AH63" s="364">
        <v>0</v>
      </c>
      <c r="AI63" s="364">
        <v>0</v>
      </c>
      <c r="AJ63" s="364">
        <v>0</v>
      </c>
      <c r="AK63" s="364">
        <v>0</v>
      </c>
      <c r="AL63" s="364">
        <v>0</v>
      </c>
      <c r="AM63" s="364">
        <v>0</v>
      </c>
      <c r="AN63" s="364">
        <v>0</v>
      </c>
      <c r="AO63" s="364">
        <v>0</v>
      </c>
      <c r="AP63" s="364">
        <v>0</v>
      </c>
      <c r="AQ63" s="364">
        <v>0</v>
      </c>
      <c r="AR63" s="364">
        <v>0</v>
      </c>
      <c r="AS63" s="364">
        <v>0</v>
      </c>
      <c r="AT63" s="364">
        <v>0</v>
      </c>
      <c r="AU63" s="364">
        <v>0</v>
      </c>
      <c r="AV63" s="364">
        <v>0</v>
      </c>
      <c r="AW63" s="364">
        <v>0</v>
      </c>
      <c r="AX63" s="364">
        <v>157.312183</v>
      </c>
      <c r="AY63" s="364">
        <v>0</v>
      </c>
      <c r="AZ63" s="364">
        <v>0</v>
      </c>
      <c r="BA63" s="364">
        <v>0</v>
      </c>
      <c r="BB63" s="363">
        <v>51.944181666651303</v>
      </c>
      <c r="BC63" s="364"/>
      <c r="BD63" s="364"/>
      <c r="BE63" s="364"/>
      <c r="BF63" s="364">
        <v>0</v>
      </c>
      <c r="BG63" s="364">
        <v>347.28496699999999</v>
      </c>
      <c r="BH63" s="364">
        <v>112.56497800000001</v>
      </c>
      <c r="BI63" s="364">
        <v>0</v>
      </c>
      <c r="BJ63" s="364">
        <v>0</v>
      </c>
      <c r="BK63" s="364">
        <v>0</v>
      </c>
      <c r="BL63" s="364">
        <v>0</v>
      </c>
      <c r="BM63" s="364">
        <v>0</v>
      </c>
      <c r="BN63" s="364">
        <v>0</v>
      </c>
      <c r="BO63" s="364">
        <v>0</v>
      </c>
      <c r="BP63" s="364">
        <v>0</v>
      </c>
      <c r="BQ63" s="364">
        <v>0</v>
      </c>
      <c r="BR63" s="364">
        <v>0</v>
      </c>
      <c r="BS63" s="364">
        <v>0</v>
      </c>
      <c r="BT63" s="364">
        <v>0</v>
      </c>
      <c r="BU63" s="364">
        <v>0</v>
      </c>
      <c r="BV63" s="364">
        <v>0</v>
      </c>
      <c r="BW63" s="364">
        <v>0</v>
      </c>
      <c r="BX63" s="364">
        <v>0</v>
      </c>
      <c r="BY63" s="364">
        <v>0</v>
      </c>
      <c r="BZ63" s="364">
        <v>0</v>
      </c>
      <c r="CA63" s="364">
        <v>0</v>
      </c>
      <c r="CB63" s="364">
        <v>0</v>
      </c>
      <c r="CC63" s="364">
        <v>0</v>
      </c>
      <c r="CD63" s="364">
        <v>0</v>
      </c>
      <c r="CE63" s="364">
        <v>0</v>
      </c>
      <c r="CF63" s="364">
        <v>0</v>
      </c>
      <c r="CG63" s="364">
        <v>0</v>
      </c>
      <c r="CH63" s="364">
        <v>0</v>
      </c>
      <c r="CI63" s="364">
        <v>0</v>
      </c>
      <c r="CJ63" s="364">
        <v>0</v>
      </c>
      <c r="CK63" s="364">
        <v>0</v>
      </c>
      <c r="CL63" s="364">
        <v>0</v>
      </c>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649">
        <f t="shared" si="15"/>
        <v>669.10630966665133</v>
      </c>
      <c r="DX63" s="891"/>
      <c r="DY63" s="706"/>
      <c r="DZ63" s="1048"/>
      <c r="EA63" s="1051"/>
      <c r="EB63" s="859"/>
      <c r="EC63" s="859"/>
      <c r="ED63" s="859"/>
      <c r="EE63" s="859"/>
      <c r="EF63" s="861"/>
      <c r="EG63" s="1107">
        <f>+YEAR(DZ63)</f>
        <v>1900</v>
      </c>
      <c r="EH63" s="278"/>
      <c r="EI63" s="858"/>
      <c r="EJ63" s="877"/>
      <c r="EQ63" s="418"/>
      <c r="ER63" s="499"/>
    </row>
    <row r="64" spans="1:148" s="278" customFormat="1" ht="24" outlineLevel="2" x14ac:dyDescent="0.25">
      <c r="A64" s="892" t="s">
        <v>383</v>
      </c>
      <c r="B64" s="897" t="s">
        <v>169</v>
      </c>
      <c r="C64" s="902">
        <v>6</v>
      </c>
      <c r="D64" s="863">
        <f>+IFERROR(VLOOKUP(B64,'Detalle Plan de Adquisiciones'!$G$6:$M$66,7,FALSE),0)</f>
        <v>2999575833</v>
      </c>
      <c r="E64" s="866" t="str">
        <f>+'Detalle Plan de Adquisiciones'!F15</f>
        <v>RECONSTRUCCIÓN DEL PAVIMENTO RÍGIDO, ANDENES Y ESPACIO PÚBLICO DE LAS CALLES 21,22 Y 23 ENTRE CARRERAS 1 Y 5, ID (220-221-222). PERTENECIENTE AL SISTEMA ESTRATEGICO DE TRANSPORTE PUBLICO "SETP" DE LA CIUDAD DE MONTERIA.</v>
      </c>
      <c r="F64" s="312" t="s">
        <v>410</v>
      </c>
      <c r="G64" s="354">
        <v>0</v>
      </c>
      <c r="H64" s="354">
        <v>0</v>
      </c>
      <c r="I64" s="354">
        <v>0</v>
      </c>
      <c r="J64" s="354">
        <v>0</v>
      </c>
      <c r="K64" s="354">
        <v>0</v>
      </c>
      <c r="L64" s="354">
        <v>0</v>
      </c>
      <c r="M64" s="354">
        <v>0</v>
      </c>
      <c r="N64" s="354">
        <v>0</v>
      </c>
      <c r="O64" s="354">
        <v>0</v>
      </c>
      <c r="P64" s="354">
        <v>0</v>
      </c>
      <c r="Q64" s="354">
        <v>0</v>
      </c>
      <c r="R64" s="354">
        <v>0</v>
      </c>
      <c r="S64" s="354">
        <v>0</v>
      </c>
      <c r="T64" s="354">
        <v>0</v>
      </c>
      <c r="U64" s="354">
        <v>0</v>
      </c>
      <c r="V64" s="354">
        <v>0</v>
      </c>
      <c r="W64" s="354">
        <v>0</v>
      </c>
      <c r="X64" s="354">
        <v>0</v>
      </c>
      <c r="Y64" s="354">
        <v>0</v>
      </c>
      <c r="Z64" s="354">
        <v>0</v>
      </c>
      <c r="AA64" s="354">
        <v>0</v>
      </c>
      <c r="AB64" s="354">
        <v>0</v>
      </c>
      <c r="AC64" s="354">
        <v>0</v>
      </c>
      <c r="AD64" s="354">
        <v>0</v>
      </c>
      <c r="AE64" s="354">
        <v>0</v>
      </c>
      <c r="AF64" s="354">
        <v>0</v>
      </c>
      <c r="AG64" s="354">
        <v>0</v>
      </c>
      <c r="AH64" s="354">
        <v>0</v>
      </c>
      <c r="AI64" s="354">
        <v>0</v>
      </c>
      <c r="AJ64" s="354">
        <v>0</v>
      </c>
      <c r="AK64" s="354">
        <v>0</v>
      </c>
      <c r="AL64" s="354">
        <v>0</v>
      </c>
      <c r="AM64" s="571">
        <v>0</v>
      </c>
      <c r="AN64" s="571">
        <v>0</v>
      </c>
      <c r="AO64" s="571">
        <v>0</v>
      </c>
      <c r="AP64" s="571">
        <v>0</v>
      </c>
      <c r="AQ64" s="571">
        <v>0</v>
      </c>
      <c r="AR64" s="571">
        <v>0</v>
      </c>
      <c r="AS64" s="571">
        <v>0</v>
      </c>
      <c r="AT64" s="571">
        <v>0</v>
      </c>
      <c r="AU64" s="571">
        <v>0</v>
      </c>
      <c r="AV64" s="571">
        <v>0</v>
      </c>
      <c r="AW64" s="571">
        <v>0</v>
      </c>
      <c r="AX64" s="571">
        <v>0</v>
      </c>
      <c r="AY64" s="571">
        <v>0</v>
      </c>
      <c r="AZ64" s="571">
        <v>0</v>
      </c>
      <c r="BA64" s="571">
        <v>0</v>
      </c>
      <c r="BB64" s="571">
        <v>812.37906399999997</v>
      </c>
      <c r="BC64" s="571">
        <v>0</v>
      </c>
      <c r="BD64" s="654">
        <v>269.37123400000002</v>
      </c>
      <c r="BE64" s="571">
        <v>0</v>
      </c>
      <c r="BF64" s="571">
        <v>0</v>
      </c>
      <c r="BG64" s="655">
        <v>817.98102400000005</v>
      </c>
      <c r="BH64" s="571">
        <v>0</v>
      </c>
      <c r="BI64" s="571">
        <v>0</v>
      </c>
      <c r="BJ64" s="571">
        <v>0</v>
      </c>
      <c r="BK64" s="571">
        <v>0</v>
      </c>
      <c r="BL64" s="571">
        <v>0</v>
      </c>
      <c r="BM64" s="571">
        <v>0</v>
      </c>
      <c r="BN64" s="571">
        <v>0</v>
      </c>
      <c r="BO64" s="571">
        <v>0</v>
      </c>
      <c r="BP64" s="571">
        <v>0</v>
      </c>
      <c r="BQ64" s="571">
        <v>0</v>
      </c>
      <c r="BR64" s="571">
        <v>0</v>
      </c>
      <c r="BS64" s="571">
        <v>0</v>
      </c>
      <c r="BT64" s="571">
        <v>0</v>
      </c>
      <c r="BU64" s="571">
        <v>0</v>
      </c>
      <c r="BV64" s="571">
        <v>0</v>
      </c>
      <c r="BW64" s="571">
        <v>0</v>
      </c>
      <c r="BX64" s="571">
        <v>0</v>
      </c>
      <c r="BY64" s="571">
        <v>0</v>
      </c>
      <c r="BZ64" s="571">
        <v>0</v>
      </c>
      <c r="CA64" s="571">
        <v>0</v>
      </c>
      <c r="CB64" s="571">
        <v>0</v>
      </c>
      <c r="CC64" s="571">
        <v>0</v>
      </c>
      <c r="CD64" s="571">
        <v>0</v>
      </c>
      <c r="CE64" s="571">
        <v>0</v>
      </c>
      <c r="CF64" s="571">
        <v>0</v>
      </c>
      <c r="CG64" s="571">
        <v>0</v>
      </c>
      <c r="CH64" s="571">
        <v>0</v>
      </c>
      <c r="CI64" s="571">
        <v>0</v>
      </c>
      <c r="CJ64" s="571">
        <v>0</v>
      </c>
      <c r="CK64" s="571">
        <v>0</v>
      </c>
      <c r="CL64" s="571">
        <v>0</v>
      </c>
      <c r="CM64" s="571"/>
      <c r="CN64" s="571"/>
      <c r="CO64" s="571"/>
      <c r="CP64" s="571"/>
      <c r="CQ64" s="571"/>
      <c r="CR64" s="571"/>
      <c r="CS64" s="571"/>
      <c r="CT64" s="571"/>
      <c r="CU64" s="571"/>
      <c r="CV64" s="571"/>
      <c r="CW64" s="571"/>
      <c r="CX64" s="571"/>
      <c r="CY64" s="571"/>
      <c r="CZ64" s="571"/>
      <c r="DA64" s="571"/>
      <c r="DB64" s="571"/>
      <c r="DC64" s="571"/>
      <c r="DD64" s="571"/>
      <c r="DE64" s="571"/>
      <c r="DF64" s="571"/>
      <c r="DG64" s="571"/>
      <c r="DH64" s="571"/>
      <c r="DI64" s="571"/>
      <c r="DJ64" s="571"/>
      <c r="DK64" s="571"/>
      <c r="DL64" s="571"/>
      <c r="DM64" s="571"/>
      <c r="DN64" s="571"/>
      <c r="DO64" s="571"/>
      <c r="DP64" s="571"/>
      <c r="DQ64" s="571"/>
      <c r="DR64" s="571"/>
      <c r="DS64" s="571"/>
      <c r="DT64" s="571"/>
      <c r="DU64" s="571"/>
      <c r="DV64" s="571"/>
      <c r="DW64" s="543">
        <f>SUM(G64:DV64)</f>
        <v>1899.7313220000001</v>
      </c>
      <c r="DX64" s="858">
        <f>DW64+DW65+DW66</f>
        <v>2999.5758329999999</v>
      </c>
      <c r="DY64" s="704">
        <f>+DX64*1000000</f>
        <v>2999575833</v>
      </c>
      <c r="DZ64" s="870">
        <f>+DY64-D64</f>
        <v>0</v>
      </c>
      <c r="EA64" s="873">
        <f>VLOOKUP(POA!$B64,'Detalle Plan de Adquisiciones'!$G$6:$AF$66,23,0)</f>
        <v>41429</v>
      </c>
      <c r="EB64" s="859" t="e">
        <f>VLOOKUP(POA!$B64,'Detalle Plan de Adquisiciones'!$G$6:$AF$66,25,0)</f>
        <v>#N/A</v>
      </c>
      <c r="EC64" s="859" t="e">
        <f>EB64+30</f>
        <v>#N/A</v>
      </c>
      <c r="ED64" s="859" t="str">
        <f>CONCATENATE(MONTH(EA64),"-",YEAR(EA64))</f>
        <v>6-2013</v>
      </c>
      <c r="EE64" s="859" t="e">
        <f>CONCATENATE(MONTH(EB64),"-",YEAR(EB64))</f>
        <v>#N/A</v>
      </c>
      <c r="EF64" s="861" t="e">
        <f>CONCATENATE(MONTH(EC64),"-",YEAR(EC64))</f>
        <v>#N/A</v>
      </c>
      <c r="EG64" s="1105">
        <f>+YEAR(EA64)</f>
        <v>2013</v>
      </c>
      <c r="EH64" s="393">
        <f>+DY64</f>
        <v>2999575833</v>
      </c>
      <c r="EI64" s="858">
        <f>+DW64+DW65+DW66</f>
        <v>2999.5758329999999</v>
      </c>
      <c r="EJ64" s="877">
        <f>+D64/1000000-EI64</f>
        <v>0</v>
      </c>
      <c r="EN64" s="425"/>
      <c r="ER64" s="497"/>
    </row>
    <row r="65" spans="1:151" s="278" customFormat="1" outlineLevel="2" x14ac:dyDescent="0.2">
      <c r="A65" s="893"/>
      <c r="B65" s="886"/>
      <c r="C65" s="903"/>
      <c r="D65" s="864"/>
      <c r="E65" s="867"/>
      <c r="F65" s="311" t="s">
        <v>210</v>
      </c>
      <c r="G65" s="363">
        <v>0</v>
      </c>
      <c r="H65" s="363">
        <v>0</v>
      </c>
      <c r="I65" s="363">
        <v>0</v>
      </c>
      <c r="J65" s="363">
        <v>0</v>
      </c>
      <c r="K65" s="363">
        <v>0</v>
      </c>
      <c r="L65" s="363">
        <v>0</v>
      </c>
      <c r="M65" s="363">
        <v>0</v>
      </c>
      <c r="N65" s="363">
        <v>0</v>
      </c>
      <c r="O65" s="363">
        <v>0</v>
      </c>
      <c r="P65" s="363">
        <v>0</v>
      </c>
      <c r="Q65" s="363">
        <v>0</v>
      </c>
      <c r="R65" s="363">
        <v>0</v>
      </c>
      <c r="S65" s="363">
        <v>0</v>
      </c>
      <c r="T65" s="363">
        <v>0</v>
      </c>
      <c r="U65" s="363">
        <v>0</v>
      </c>
      <c r="V65" s="363">
        <v>0</v>
      </c>
      <c r="W65" s="363">
        <v>0</v>
      </c>
      <c r="X65" s="363">
        <v>0</v>
      </c>
      <c r="Y65" s="363">
        <v>0</v>
      </c>
      <c r="Z65" s="363">
        <v>0</v>
      </c>
      <c r="AA65" s="363">
        <v>0</v>
      </c>
      <c r="AB65" s="363">
        <v>0</v>
      </c>
      <c r="AC65" s="363">
        <v>0</v>
      </c>
      <c r="AD65" s="363">
        <v>0</v>
      </c>
      <c r="AE65" s="363">
        <v>0</v>
      </c>
      <c r="AF65" s="363">
        <v>0</v>
      </c>
      <c r="AG65" s="363">
        <v>0</v>
      </c>
      <c r="AH65" s="363">
        <v>0</v>
      </c>
      <c r="AI65" s="363">
        <v>0</v>
      </c>
      <c r="AJ65" s="363">
        <v>0</v>
      </c>
      <c r="AK65" s="363">
        <v>0</v>
      </c>
      <c r="AL65" s="363">
        <v>0</v>
      </c>
      <c r="AM65" s="572">
        <v>0</v>
      </c>
      <c r="AN65" s="572">
        <v>0</v>
      </c>
      <c r="AO65" s="572">
        <v>0</v>
      </c>
      <c r="AP65" s="572">
        <v>0</v>
      </c>
      <c r="AQ65" s="572">
        <v>0</v>
      </c>
      <c r="AR65" s="572">
        <v>0</v>
      </c>
      <c r="AS65" s="572">
        <v>0</v>
      </c>
      <c r="AT65" s="572">
        <v>0</v>
      </c>
      <c r="AU65" s="572">
        <v>0</v>
      </c>
      <c r="AV65" s="572">
        <v>0</v>
      </c>
      <c r="AW65" s="572">
        <v>0</v>
      </c>
      <c r="AX65" s="572">
        <v>299.95759400000003</v>
      </c>
      <c r="AY65" s="572">
        <v>78.681618999999998</v>
      </c>
      <c r="AZ65" s="572">
        <v>642.47456899999997</v>
      </c>
      <c r="BA65" s="572">
        <v>0</v>
      </c>
      <c r="BB65" s="572">
        <v>0</v>
      </c>
      <c r="BC65" s="572">
        <v>0</v>
      </c>
      <c r="BD65" s="572">
        <v>0</v>
      </c>
      <c r="BE65" s="572">
        <v>0</v>
      </c>
      <c r="BF65" s="572">
        <v>0</v>
      </c>
      <c r="BG65" s="572">
        <v>78.730728999999997</v>
      </c>
      <c r="BH65" s="572">
        <v>0</v>
      </c>
      <c r="BI65" s="572">
        <v>0</v>
      </c>
      <c r="BJ65" s="572">
        <v>0</v>
      </c>
      <c r="BK65" s="572">
        <v>0</v>
      </c>
      <c r="BL65" s="572">
        <v>0</v>
      </c>
      <c r="BM65" s="572">
        <v>0</v>
      </c>
      <c r="BN65" s="572">
        <v>0</v>
      </c>
      <c r="BO65" s="572">
        <v>0</v>
      </c>
      <c r="BP65" s="572">
        <v>0</v>
      </c>
      <c r="BQ65" s="572">
        <v>0</v>
      </c>
      <c r="BR65" s="572">
        <v>0</v>
      </c>
      <c r="BS65" s="572">
        <v>0</v>
      </c>
      <c r="BT65" s="572">
        <v>0</v>
      </c>
      <c r="BU65" s="572">
        <v>0</v>
      </c>
      <c r="BV65" s="572">
        <v>0</v>
      </c>
      <c r="BW65" s="572">
        <v>0</v>
      </c>
      <c r="BX65" s="572">
        <v>0</v>
      </c>
      <c r="BY65" s="572">
        <v>0</v>
      </c>
      <c r="BZ65" s="572">
        <v>0</v>
      </c>
      <c r="CA65" s="572">
        <v>0</v>
      </c>
      <c r="CB65" s="572">
        <v>0</v>
      </c>
      <c r="CC65" s="572">
        <v>0</v>
      </c>
      <c r="CD65" s="572">
        <v>0</v>
      </c>
      <c r="CE65" s="572">
        <v>0</v>
      </c>
      <c r="CF65" s="572">
        <v>0</v>
      </c>
      <c r="CG65" s="572">
        <v>0</v>
      </c>
      <c r="CH65" s="572">
        <v>0</v>
      </c>
      <c r="CI65" s="572">
        <v>0</v>
      </c>
      <c r="CJ65" s="572">
        <v>0</v>
      </c>
      <c r="CK65" s="572">
        <v>0</v>
      </c>
      <c r="CL65" s="572">
        <v>0</v>
      </c>
      <c r="CM65" s="572"/>
      <c r="CN65" s="572"/>
      <c r="CO65" s="572"/>
      <c r="CP65" s="572"/>
      <c r="CQ65" s="572"/>
      <c r="CR65" s="572"/>
      <c r="CS65" s="572"/>
      <c r="CT65" s="572"/>
      <c r="CU65" s="572"/>
      <c r="CV65" s="572"/>
      <c r="CW65" s="572"/>
      <c r="CX65" s="572"/>
      <c r="CY65" s="572"/>
      <c r="CZ65" s="572"/>
      <c r="DA65" s="572"/>
      <c r="DB65" s="572"/>
      <c r="DC65" s="572"/>
      <c r="DD65" s="572"/>
      <c r="DE65" s="572"/>
      <c r="DF65" s="572"/>
      <c r="DG65" s="572"/>
      <c r="DH65" s="572"/>
      <c r="DI65" s="572"/>
      <c r="DJ65" s="572"/>
      <c r="DK65" s="572"/>
      <c r="DL65" s="572"/>
      <c r="DM65" s="572"/>
      <c r="DN65" s="572"/>
      <c r="DO65" s="572"/>
      <c r="DP65" s="572"/>
      <c r="DQ65" s="572"/>
      <c r="DR65" s="572"/>
      <c r="DS65" s="572"/>
      <c r="DT65" s="572"/>
      <c r="DU65" s="572"/>
      <c r="DV65" s="572"/>
      <c r="DW65" s="544">
        <f t="shared" si="15"/>
        <v>1099.844511</v>
      </c>
      <c r="DX65" s="858"/>
      <c r="DY65" s="705"/>
      <c r="DZ65" s="871"/>
      <c r="EA65" s="873"/>
      <c r="EB65" s="859"/>
      <c r="EC65" s="859"/>
      <c r="ED65" s="859"/>
      <c r="EE65" s="859"/>
      <c r="EF65" s="861"/>
      <c r="EG65" s="1106"/>
      <c r="EI65" s="858"/>
      <c r="EJ65" s="877"/>
      <c r="EO65" s="393"/>
      <c r="ER65" s="497"/>
    </row>
    <row r="66" spans="1:151" s="278" customFormat="1" ht="9.75" customHeight="1" outlineLevel="2" thickBot="1" x14ac:dyDescent="0.25">
      <c r="A66" s="894"/>
      <c r="B66" s="887"/>
      <c r="C66" s="904"/>
      <c r="D66" s="865"/>
      <c r="E66" s="868"/>
      <c r="F66" s="315" t="s">
        <v>211</v>
      </c>
      <c r="G66" s="364">
        <v>0</v>
      </c>
      <c r="H66" s="364">
        <v>0</v>
      </c>
      <c r="I66" s="364">
        <v>0</v>
      </c>
      <c r="J66" s="364">
        <v>0</v>
      </c>
      <c r="K66" s="364">
        <v>0</v>
      </c>
      <c r="L66" s="364">
        <v>0</v>
      </c>
      <c r="M66" s="364">
        <v>0</v>
      </c>
      <c r="N66" s="364">
        <v>0</v>
      </c>
      <c r="O66" s="364">
        <v>0</v>
      </c>
      <c r="P66" s="364">
        <v>0</v>
      </c>
      <c r="Q66" s="364">
        <v>0</v>
      </c>
      <c r="R66" s="364">
        <v>0</v>
      </c>
      <c r="S66" s="364">
        <v>0</v>
      </c>
      <c r="T66" s="364">
        <v>0</v>
      </c>
      <c r="U66" s="364">
        <v>0</v>
      </c>
      <c r="V66" s="364">
        <v>0</v>
      </c>
      <c r="W66" s="364">
        <v>0</v>
      </c>
      <c r="X66" s="364">
        <v>0</v>
      </c>
      <c r="Y66" s="364">
        <v>0</v>
      </c>
      <c r="Z66" s="364">
        <v>0</v>
      </c>
      <c r="AA66" s="364">
        <v>0</v>
      </c>
      <c r="AB66" s="364">
        <v>0</v>
      </c>
      <c r="AC66" s="364">
        <v>0</v>
      </c>
      <c r="AD66" s="364">
        <v>0</v>
      </c>
      <c r="AE66" s="364">
        <v>0</v>
      </c>
      <c r="AF66" s="364">
        <v>0</v>
      </c>
      <c r="AG66" s="364">
        <v>0</v>
      </c>
      <c r="AH66" s="364">
        <v>0</v>
      </c>
      <c r="AI66" s="364">
        <v>0</v>
      </c>
      <c r="AJ66" s="364">
        <v>0</v>
      </c>
      <c r="AK66" s="364">
        <v>0</v>
      </c>
      <c r="AL66" s="364">
        <v>0</v>
      </c>
      <c r="AM66" s="573">
        <v>0</v>
      </c>
      <c r="AN66" s="573">
        <v>0</v>
      </c>
      <c r="AO66" s="573">
        <v>0</v>
      </c>
      <c r="AP66" s="573">
        <v>0</v>
      </c>
      <c r="AQ66" s="573">
        <v>0</v>
      </c>
      <c r="AR66" s="573">
        <v>0</v>
      </c>
      <c r="AS66" s="573">
        <v>0</v>
      </c>
      <c r="AT66" s="573">
        <v>0</v>
      </c>
      <c r="AU66" s="573">
        <v>0</v>
      </c>
      <c r="AV66" s="573">
        <v>0</v>
      </c>
      <c r="AW66" s="573">
        <v>0</v>
      </c>
      <c r="AX66" s="573">
        <v>0</v>
      </c>
      <c r="AY66" s="573">
        <v>0</v>
      </c>
      <c r="AZ66" s="573">
        <v>0</v>
      </c>
      <c r="BA66" s="573">
        <v>0</v>
      </c>
      <c r="BB66" s="573">
        <v>0</v>
      </c>
      <c r="BC66" s="573">
        <v>0</v>
      </c>
      <c r="BD66" s="573">
        <v>0</v>
      </c>
      <c r="BE66" s="573">
        <v>0</v>
      </c>
      <c r="BF66" s="573">
        <v>0</v>
      </c>
      <c r="BG66" s="573">
        <v>0</v>
      </c>
      <c r="BH66" s="573">
        <v>0</v>
      </c>
      <c r="BI66" s="573">
        <v>0</v>
      </c>
      <c r="BJ66" s="573">
        <v>0</v>
      </c>
      <c r="BK66" s="573">
        <v>0</v>
      </c>
      <c r="BL66" s="573">
        <v>0</v>
      </c>
      <c r="BM66" s="573">
        <v>0</v>
      </c>
      <c r="BN66" s="573">
        <v>0</v>
      </c>
      <c r="BO66" s="573">
        <v>0</v>
      </c>
      <c r="BP66" s="573">
        <v>0</v>
      </c>
      <c r="BQ66" s="573">
        <v>0</v>
      </c>
      <c r="BR66" s="573">
        <v>0</v>
      </c>
      <c r="BS66" s="573">
        <v>0</v>
      </c>
      <c r="BT66" s="573">
        <v>0</v>
      </c>
      <c r="BU66" s="573">
        <v>0</v>
      </c>
      <c r="BV66" s="573">
        <v>0</v>
      </c>
      <c r="BW66" s="573">
        <v>0</v>
      </c>
      <c r="BX66" s="573">
        <v>0</v>
      </c>
      <c r="BY66" s="573">
        <v>0</v>
      </c>
      <c r="BZ66" s="573">
        <v>0</v>
      </c>
      <c r="CA66" s="573">
        <v>0</v>
      </c>
      <c r="CB66" s="573">
        <v>0</v>
      </c>
      <c r="CC66" s="573">
        <v>0</v>
      </c>
      <c r="CD66" s="573">
        <v>0</v>
      </c>
      <c r="CE66" s="573">
        <v>0</v>
      </c>
      <c r="CF66" s="573">
        <v>0</v>
      </c>
      <c r="CG66" s="573">
        <v>0</v>
      </c>
      <c r="CH66" s="573">
        <v>0</v>
      </c>
      <c r="CI66" s="573">
        <v>0</v>
      </c>
      <c r="CJ66" s="573">
        <v>0</v>
      </c>
      <c r="CK66" s="573">
        <v>0</v>
      </c>
      <c r="CL66" s="573">
        <v>0</v>
      </c>
      <c r="CM66" s="573"/>
      <c r="CN66" s="573"/>
      <c r="CO66" s="573"/>
      <c r="CP66" s="573"/>
      <c r="CQ66" s="573"/>
      <c r="CR66" s="573"/>
      <c r="CS66" s="573"/>
      <c r="CT66" s="573"/>
      <c r="CU66" s="573"/>
      <c r="CV66" s="573"/>
      <c r="CW66" s="573"/>
      <c r="CX66" s="573"/>
      <c r="CY66" s="573"/>
      <c r="CZ66" s="573"/>
      <c r="DA66" s="573"/>
      <c r="DB66" s="573"/>
      <c r="DC66" s="573"/>
      <c r="DD66" s="573"/>
      <c r="DE66" s="573"/>
      <c r="DF66" s="573"/>
      <c r="DG66" s="573"/>
      <c r="DH66" s="573"/>
      <c r="DI66" s="573"/>
      <c r="DJ66" s="573"/>
      <c r="DK66" s="573"/>
      <c r="DL66" s="573"/>
      <c r="DM66" s="573"/>
      <c r="DN66" s="573"/>
      <c r="DO66" s="573"/>
      <c r="DP66" s="573"/>
      <c r="DQ66" s="573"/>
      <c r="DR66" s="573"/>
      <c r="DS66" s="573"/>
      <c r="DT66" s="573"/>
      <c r="DU66" s="573"/>
      <c r="DV66" s="573"/>
      <c r="DW66" s="649">
        <f t="shared" si="15"/>
        <v>0</v>
      </c>
      <c r="DX66" s="858"/>
      <c r="DY66" s="706"/>
      <c r="DZ66" s="872"/>
      <c r="EA66" s="873"/>
      <c r="EB66" s="859"/>
      <c r="EC66" s="859"/>
      <c r="ED66" s="859"/>
      <c r="EE66" s="859"/>
      <c r="EF66" s="861"/>
      <c r="EG66" s="1107"/>
      <c r="EI66" s="858"/>
      <c r="EJ66" s="877"/>
      <c r="EO66" s="424"/>
      <c r="ER66" s="497"/>
    </row>
    <row r="67" spans="1:151" s="278" customFormat="1" ht="24" outlineLevel="2" x14ac:dyDescent="0.2">
      <c r="A67" s="892" t="s">
        <v>382</v>
      </c>
      <c r="B67" s="897" t="s">
        <v>351</v>
      </c>
      <c r="C67" s="902">
        <v>6</v>
      </c>
      <c r="D67" s="863">
        <f>+IFERROR(VLOOKUP(B67,'Detalle Plan de Adquisiciones'!$G$6:$M$66,7,FALSE),0)</f>
        <v>3170750778</v>
      </c>
      <c r="E67" s="866" t="str">
        <f>+'Detalle Plan de Adquisiciones'!F16</f>
        <v>CONSTRUCCIÓN DEL PAVIMENTO RÍGIDO, ANDENES Y ESPACIO PUBLICO DE LA CALLE 26 ENTRE CARRERA 1 Y CARRERA 5, LAS CARRERAS 6 Y 7 ENTRE CALLE 27 Y CALLE 30,ID (217-229-230). PERTENECIENTE AL SISTEMA ESTRATÉGICO DE TRANSPORTE PUBLICO "SETP" DE LA CIUDAD DE MONTERÍA.</v>
      </c>
      <c r="F67" s="312" t="s">
        <v>410</v>
      </c>
      <c r="G67" s="354">
        <v>0</v>
      </c>
      <c r="H67" s="354">
        <v>0</v>
      </c>
      <c r="I67" s="354">
        <v>0</v>
      </c>
      <c r="J67" s="354">
        <v>0</v>
      </c>
      <c r="K67" s="354">
        <v>0</v>
      </c>
      <c r="L67" s="354">
        <v>0</v>
      </c>
      <c r="M67" s="354">
        <v>0</v>
      </c>
      <c r="N67" s="354">
        <v>0</v>
      </c>
      <c r="O67" s="354">
        <v>0</v>
      </c>
      <c r="P67" s="354">
        <v>0</v>
      </c>
      <c r="Q67" s="354">
        <v>0</v>
      </c>
      <c r="R67" s="354">
        <v>0</v>
      </c>
      <c r="S67" s="354">
        <v>0</v>
      </c>
      <c r="T67" s="354">
        <v>0</v>
      </c>
      <c r="U67" s="354">
        <v>0</v>
      </c>
      <c r="V67" s="354">
        <v>0</v>
      </c>
      <c r="W67" s="354">
        <v>0</v>
      </c>
      <c r="X67" s="354">
        <v>0</v>
      </c>
      <c r="Y67" s="354">
        <v>0</v>
      </c>
      <c r="Z67" s="354">
        <v>0</v>
      </c>
      <c r="AA67" s="354">
        <v>0</v>
      </c>
      <c r="AB67" s="354">
        <v>0</v>
      </c>
      <c r="AC67" s="354">
        <v>0</v>
      </c>
      <c r="AD67" s="354">
        <v>0</v>
      </c>
      <c r="AE67" s="354">
        <v>0</v>
      </c>
      <c r="AF67" s="354">
        <v>0</v>
      </c>
      <c r="AG67" s="354">
        <v>0</v>
      </c>
      <c r="AH67" s="354">
        <v>0</v>
      </c>
      <c r="AI67" s="354">
        <v>0</v>
      </c>
      <c r="AJ67" s="354">
        <v>0</v>
      </c>
      <c r="AK67" s="354">
        <v>0</v>
      </c>
      <c r="AL67" s="354">
        <v>0</v>
      </c>
      <c r="AM67" s="571">
        <v>0</v>
      </c>
      <c r="AN67" s="571">
        <v>0</v>
      </c>
      <c r="AO67" s="571">
        <v>0</v>
      </c>
      <c r="AP67" s="571">
        <v>0</v>
      </c>
      <c r="AQ67" s="571">
        <v>0</v>
      </c>
      <c r="AR67" s="571">
        <v>0</v>
      </c>
      <c r="AS67" s="571">
        <v>0</v>
      </c>
      <c r="AT67" s="571">
        <v>0</v>
      </c>
      <c r="AU67" s="571">
        <v>0</v>
      </c>
      <c r="AV67" s="571">
        <v>0</v>
      </c>
      <c r="AW67" s="571">
        <v>0</v>
      </c>
      <c r="AX67" s="571"/>
      <c r="AY67" s="571"/>
      <c r="AZ67" s="571">
        <v>0</v>
      </c>
      <c r="BA67" s="571">
        <v>0</v>
      </c>
      <c r="BB67" s="571">
        <v>0</v>
      </c>
      <c r="BC67" s="571">
        <v>0</v>
      </c>
      <c r="BD67" s="571">
        <v>0</v>
      </c>
      <c r="BE67" s="571">
        <v>0</v>
      </c>
      <c r="BF67" s="571">
        <v>0</v>
      </c>
      <c r="BG67" s="571">
        <v>0</v>
      </c>
      <c r="BH67" s="571">
        <v>564.95149100000003</v>
      </c>
      <c r="BI67" s="571">
        <v>475.15263899999997</v>
      </c>
      <c r="BJ67" s="571">
        <v>531.90121199999999</v>
      </c>
      <c r="BK67" s="571">
        <v>0</v>
      </c>
      <c r="BL67" s="571">
        <v>0</v>
      </c>
      <c r="BM67" s="571">
        <v>285.52549199999999</v>
      </c>
      <c r="BN67" s="571">
        <v>0</v>
      </c>
      <c r="BO67" s="571">
        <v>0</v>
      </c>
      <c r="BP67" s="571">
        <v>0</v>
      </c>
      <c r="BQ67" s="571">
        <v>0</v>
      </c>
      <c r="BR67" s="571">
        <v>0</v>
      </c>
      <c r="BS67" s="571">
        <v>0</v>
      </c>
      <c r="BT67" s="571">
        <v>0</v>
      </c>
      <c r="BU67" s="571">
        <v>0</v>
      </c>
      <c r="BV67" s="571">
        <v>0</v>
      </c>
      <c r="BW67" s="571">
        <v>0</v>
      </c>
      <c r="BX67" s="571">
        <v>0</v>
      </c>
      <c r="BY67" s="571">
        <v>0</v>
      </c>
      <c r="BZ67" s="571">
        <v>0</v>
      </c>
      <c r="CA67" s="571">
        <v>0</v>
      </c>
      <c r="CB67" s="571">
        <v>0</v>
      </c>
      <c r="CC67" s="571">
        <v>0</v>
      </c>
      <c r="CD67" s="571">
        <v>0</v>
      </c>
      <c r="CE67" s="571">
        <v>0</v>
      </c>
      <c r="CF67" s="571">
        <v>0</v>
      </c>
      <c r="CG67" s="571">
        <v>0</v>
      </c>
      <c r="CH67" s="571">
        <v>0</v>
      </c>
      <c r="CI67" s="571">
        <v>0</v>
      </c>
      <c r="CJ67" s="571">
        <v>0</v>
      </c>
      <c r="CK67" s="571">
        <v>0</v>
      </c>
      <c r="CL67" s="571">
        <v>0</v>
      </c>
      <c r="CM67" s="571"/>
      <c r="CN67" s="571"/>
      <c r="CO67" s="571"/>
      <c r="CP67" s="571"/>
      <c r="CQ67" s="571"/>
      <c r="CR67" s="571"/>
      <c r="CS67" s="571"/>
      <c r="CT67" s="571"/>
      <c r="CU67" s="571"/>
      <c r="CV67" s="571"/>
      <c r="CW67" s="571"/>
      <c r="CX67" s="571"/>
      <c r="CY67" s="571"/>
      <c r="CZ67" s="571"/>
      <c r="DA67" s="571"/>
      <c r="DB67" s="571"/>
      <c r="DC67" s="571"/>
      <c r="DD67" s="571"/>
      <c r="DE67" s="571"/>
      <c r="DF67" s="571"/>
      <c r="DG67" s="571"/>
      <c r="DH67" s="571"/>
      <c r="DI67" s="571"/>
      <c r="DJ67" s="571"/>
      <c r="DK67" s="571"/>
      <c r="DL67" s="571"/>
      <c r="DM67" s="571"/>
      <c r="DN67" s="571"/>
      <c r="DO67" s="571"/>
      <c r="DP67" s="571"/>
      <c r="DQ67" s="571"/>
      <c r="DR67" s="571"/>
      <c r="DS67" s="571"/>
      <c r="DT67" s="571"/>
      <c r="DU67" s="571"/>
      <c r="DV67" s="571"/>
      <c r="DW67" s="543">
        <f t="shared" si="15"/>
        <v>1857.5308339999999</v>
      </c>
      <c r="DX67" s="858">
        <f>DW67+DW68+DW69</f>
        <v>3170.7507779999996</v>
      </c>
      <c r="DY67" s="704">
        <f>+DX67*1000000</f>
        <v>3170750777.9999995</v>
      </c>
      <c r="DZ67" s="870">
        <f>+DY67-D67</f>
        <v>0</v>
      </c>
      <c r="EA67" s="873">
        <f>VLOOKUP(POA!$B67,'Detalle Plan de Adquisiciones'!$G$6:$AF$66,23,0)</f>
        <v>41562</v>
      </c>
      <c r="EB67" s="859" t="e">
        <f>VLOOKUP(POA!$B67,'Detalle Plan de Adquisiciones'!$G$6:$AF$66,25,0)</f>
        <v>#N/A</v>
      </c>
      <c r="EC67" s="859" t="e">
        <f>EB67+30</f>
        <v>#N/A</v>
      </c>
      <c r="ED67" s="859" t="str">
        <f>CONCATENATE(MONTH(EA67),"-",YEAR(EA67))</f>
        <v>10-2013</v>
      </c>
      <c r="EE67" s="859" t="e">
        <f>CONCATENATE(MONTH(EB67),"-",YEAR(EB67))</f>
        <v>#N/A</v>
      </c>
      <c r="EF67" s="861" t="e">
        <f>CONCATENATE(MONTH(EC67),"-",YEAR(EC67))</f>
        <v>#N/A</v>
      </c>
      <c r="EG67" s="1105">
        <f>+YEAR(EA67)</f>
        <v>2013</v>
      </c>
      <c r="EH67" s="393">
        <f>+DY67</f>
        <v>3170750777.9999995</v>
      </c>
      <c r="EI67" s="858">
        <f>+DW67+DW68+DW69</f>
        <v>3170.7507779999996</v>
      </c>
      <c r="EJ67" s="877">
        <f>+D67/1000000-EI67</f>
        <v>0</v>
      </c>
      <c r="EM67" s="428"/>
      <c r="ER67" s="497"/>
      <c r="ET67" s="555"/>
    </row>
    <row r="68" spans="1:151" s="278" customFormat="1" outlineLevel="2" x14ac:dyDescent="0.2">
      <c r="A68" s="893"/>
      <c r="B68" s="886"/>
      <c r="C68" s="903"/>
      <c r="D68" s="864"/>
      <c r="E68" s="867"/>
      <c r="F68" s="311" t="s">
        <v>210</v>
      </c>
      <c r="G68" s="363">
        <v>0</v>
      </c>
      <c r="H68" s="363">
        <v>0</v>
      </c>
      <c r="I68" s="363">
        <v>0</v>
      </c>
      <c r="J68" s="363">
        <v>0</v>
      </c>
      <c r="K68" s="363">
        <v>0</v>
      </c>
      <c r="L68" s="363">
        <v>0</v>
      </c>
      <c r="M68" s="363">
        <v>0</v>
      </c>
      <c r="N68" s="363">
        <v>0</v>
      </c>
      <c r="O68" s="363">
        <v>0</v>
      </c>
      <c r="P68" s="363">
        <v>0</v>
      </c>
      <c r="Q68" s="363">
        <v>0</v>
      </c>
      <c r="R68" s="363">
        <v>0</v>
      </c>
      <c r="S68" s="363">
        <v>0</v>
      </c>
      <c r="T68" s="363">
        <v>0</v>
      </c>
      <c r="U68" s="363">
        <v>0</v>
      </c>
      <c r="V68" s="363">
        <v>0</v>
      </c>
      <c r="W68" s="363">
        <v>0</v>
      </c>
      <c r="X68" s="363">
        <v>0</v>
      </c>
      <c r="Y68" s="363">
        <v>0</v>
      </c>
      <c r="Z68" s="363">
        <v>0</v>
      </c>
      <c r="AA68" s="363">
        <v>0</v>
      </c>
      <c r="AB68" s="363">
        <v>0</v>
      </c>
      <c r="AC68" s="363">
        <v>0</v>
      </c>
      <c r="AD68" s="363">
        <v>0</v>
      </c>
      <c r="AE68" s="363">
        <v>0</v>
      </c>
      <c r="AF68" s="363">
        <v>0</v>
      </c>
      <c r="AG68" s="363">
        <v>0</v>
      </c>
      <c r="AH68" s="363">
        <v>0</v>
      </c>
      <c r="AI68" s="363">
        <v>0</v>
      </c>
      <c r="AJ68" s="363">
        <v>0</v>
      </c>
      <c r="AK68" s="363">
        <v>0</v>
      </c>
      <c r="AL68" s="363">
        <v>0</v>
      </c>
      <c r="AM68" s="572">
        <v>0</v>
      </c>
      <c r="AN68" s="572">
        <v>0</v>
      </c>
      <c r="AO68" s="572">
        <v>0</v>
      </c>
      <c r="AP68" s="572">
        <v>0</v>
      </c>
      <c r="AQ68" s="572">
        <v>0</v>
      </c>
      <c r="AR68" s="572">
        <v>0</v>
      </c>
      <c r="AS68" s="572">
        <v>0</v>
      </c>
      <c r="AT68" s="572">
        <v>0</v>
      </c>
      <c r="AU68" s="572">
        <v>0</v>
      </c>
      <c r="AV68" s="572">
        <v>0</v>
      </c>
      <c r="AW68" s="572">
        <v>0</v>
      </c>
      <c r="AX68" s="572"/>
      <c r="AY68" s="572"/>
      <c r="AZ68" s="572">
        <v>0</v>
      </c>
      <c r="BA68" s="572"/>
      <c r="BB68" s="572">
        <v>0</v>
      </c>
      <c r="BC68" s="572">
        <v>0</v>
      </c>
      <c r="BD68" s="572">
        <v>0</v>
      </c>
      <c r="BE68" s="572">
        <v>842.34583700000007</v>
      </c>
      <c r="BF68" s="572">
        <v>0</v>
      </c>
      <c r="BG68" s="572">
        <v>470.87410699999998</v>
      </c>
      <c r="BH68" s="572">
        <v>0</v>
      </c>
      <c r="BI68" s="572">
        <v>0</v>
      </c>
      <c r="BJ68" s="572">
        <v>0</v>
      </c>
      <c r="BK68" s="572">
        <v>0</v>
      </c>
      <c r="BL68" s="572">
        <v>0</v>
      </c>
      <c r="BM68" s="572">
        <v>0</v>
      </c>
      <c r="BN68" s="572">
        <v>0</v>
      </c>
      <c r="BO68" s="572">
        <v>0</v>
      </c>
      <c r="BP68" s="572">
        <v>0</v>
      </c>
      <c r="BQ68" s="572">
        <v>0</v>
      </c>
      <c r="BR68" s="572">
        <v>0</v>
      </c>
      <c r="BS68" s="572">
        <v>0</v>
      </c>
      <c r="BT68" s="572">
        <v>0</v>
      </c>
      <c r="BU68" s="572">
        <v>0</v>
      </c>
      <c r="BV68" s="572">
        <v>0</v>
      </c>
      <c r="BW68" s="572">
        <v>0</v>
      </c>
      <c r="BX68" s="572">
        <v>0</v>
      </c>
      <c r="BY68" s="572">
        <v>0</v>
      </c>
      <c r="BZ68" s="572">
        <v>0</v>
      </c>
      <c r="CA68" s="572">
        <v>0</v>
      </c>
      <c r="CB68" s="572">
        <v>0</v>
      </c>
      <c r="CC68" s="572">
        <v>0</v>
      </c>
      <c r="CD68" s="572">
        <v>0</v>
      </c>
      <c r="CE68" s="572">
        <v>0</v>
      </c>
      <c r="CF68" s="572">
        <v>0</v>
      </c>
      <c r="CG68" s="572">
        <v>0</v>
      </c>
      <c r="CH68" s="572">
        <v>0</v>
      </c>
      <c r="CI68" s="572">
        <v>0</v>
      </c>
      <c r="CJ68" s="572">
        <v>0</v>
      </c>
      <c r="CK68" s="572">
        <v>0</v>
      </c>
      <c r="CL68" s="572">
        <v>0</v>
      </c>
      <c r="CM68" s="572"/>
      <c r="CN68" s="572"/>
      <c r="CO68" s="572"/>
      <c r="CP68" s="572"/>
      <c r="CQ68" s="572"/>
      <c r="CR68" s="572"/>
      <c r="CS68" s="572"/>
      <c r="CT68" s="572"/>
      <c r="CU68" s="572"/>
      <c r="CV68" s="572"/>
      <c r="CW68" s="572"/>
      <c r="CX68" s="572"/>
      <c r="CY68" s="572"/>
      <c r="CZ68" s="572"/>
      <c r="DA68" s="572"/>
      <c r="DB68" s="572"/>
      <c r="DC68" s="572"/>
      <c r="DD68" s="572"/>
      <c r="DE68" s="572"/>
      <c r="DF68" s="572"/>
      <c r="DG68" s="572"/>
      <c r="DH68" s="572"/>
      <c r="DI68" s="572"/>
      <c r="DJ68" s="572"/>
      <c r="DK68" s="572"/>
      <c r="DL68" s="572"/>
      <c r="DM68" s="572"/>
      <c r="DN68" s="572"/>
      <c r="DO68" s="572"/>
      <c r="DP68" s="572"/>
      <c r="DQ68" s="572"/>
      <c r="DR68" s="572"/>
      <c r="DS68" s="572"/>
      <c r="DT68" s="572"/>
      <c r="DU68" s="572"/>
      <c r="DV68" s="572"/>
      <c r="DW68" s="544">
        <f t="shared" si="15"/>
        <v>1313.2199439999999</v>
      </c>
      <c r="DX68" s="858"/>
      <c r="DY68" s="705"/>
      <c r="DZ68" s="871"/>
      <c r="EA68" s="873"/>
      <c r="EB68" s="859"/>
      <c r="EC68" s="859"/>
      <c r="ED68" s="859"/>
      <c r="EE68" s="859"/>
      <c r="EF68" s="861"/>
      <c r="EG68" s="1106"/>
      <c r="EI68" s="858"/>
      <c r="EJ68" s="877"/>
      <c r="EO68" s="419"/>
      <c r="ER68" s="497"/>
    </row>
    <row r="69" spans="1:151" s="278" customFormat="1" ht="9.75" customHeight="1" outlineLevel="2" thickBot="1" x14ac:dyDescent="0.25">
      <c r="A69" s="894"/>
      <c r="B69" s="887"/>
      <c r="C69" s="904"/>
      <c r="D69" s="865"/>
      <c r="E69" s="868"/>
      <c r="F69" s="315" t="s">
        <v>211</v>
      </c>
      <c r="G69" s="364">
        <v>0</v>
      </c>
      <c r="H69" s="364">
        <v>0</v>
      </c>
      <c r="I69" s="364">
        <v>0</v>
      </c>
      <c r="J69" s="364">
        <v>0</v>
      </c>
      <c r="K69" s="364">
        <v>0</v>
      </c>
      <c r="L69" s="364">
        <v>0</v>
      </c>
      <c r="M69" s="364">
        <v>0</v>
      </c>
      <c r="N69" s="364">
        <v>0</v>
      </c>
      <c r="O69" s="364">
        <v>0</v>
      </c>
      <c r="P69" s="364">
        <v>0</v>
      </c>
      <c r="Q69" s="364">
        <v>0</v>
      </c>
      <c r="R69" s="364">
        <v>0</v>
      </c>
      <c r="S69" s="364">
        <v>0</v>
      </c>
      <c r="T69" s="364">
        <v>0</v>
      </c>
      <c r="U69" s="364">
        <v>0</v>
      </c>
      <c r="V69" s="364">
        <v>0</v>
      </c>
      <c r="W69" s="364">
        <v>0</v>
      </c>
      <c r="X69" s="364">
        <v>0</v>
      </c>
      <c r="Y69" s="364">
        <v>0</v>
      </c>
      <c r="Z69" s="364">
        <v>0</v>
      </c>
      <c r="AA69" s="364">
        <v>0</v>
      </c>
      <c r="AB69" s="364">
        <v>0</v>
      </c>
      <c r="AC69" s="364">
        <v>0</v>
      </c>
      <c r="AD69" s="364">
        <v>0</v>
      </c>
      <c r="AE69" s="364">
        <v>0</v>
      </c>
      <c r="AF69" s="364">
        <v>0</v>
      </c>
      <c r="AG69" s="364">
        <v>0</v>
      </c>
      <c r="AH69" s="364">
        <v>0</v>
      </c>
      <c r="AI69" s="364">
        <v>0</v>
      </c>
      <c r="AJ69" s="364">
        <v>0</v>
      </c>
      <c r="AK69" s="364">
        <v>0</v>
      </c>
      <c r="AL69" s="364">
        <v>0</v>
      </c>
      <c r="AM69" s="573">
        <v>0</v>
      </c>
      <c r="AN69" s="573">
        <v>0</v>
      </c>
      <c r="AO69" s="573">
        <v>0</v>
      </c>
      <c r="AP69" s="573">
        <v>0</v>
      </c>
      <c r="AQ69" s="573">
        <v>0</v>
      </c>
      <c r="AR69" s="573">
        <v>0</v>
      </c>
      <c r="AS69" s="573">
        <v>0</v>
      </c>
      <c r="AT69" s="573">
        <v>0</v>
      </c>
      <c r="AU69" s="573">
        <v>0</v>
      </c>
      <c r="AV69" s="573">
        <v>0</v>
      </c>
      <c r="AW69" s="573">
        <v>0</v>
      </c>
      <c r="AX69" s="573"/>
      <c r="AY69" s="573"/>
      <c r="AZ69" s="573">
        <v>0</v>
      </c>
      <c r="BA69" s="573">
        <v>0</v>
      </c>
      <c r="BB69" s="573">
        <v>0</v>
      </c>
      <c r="BC69" s="573">
        <v>0</v>
      </c>
      <c r="BD69" s="573">
        <v>0</v>
      </c>
      <c r="BE69" s="573">
        <v>0</v>
      </c>
      <c r="BF69" s="573">
        <v>0</v>
      </c>
      <c r="BG69" s="573">
        <v>0</v>
      </c>
      <c r="BH69" s="573">
        <v>0</v>
      </c>
      <c r="BI69" s="573">
        <v>0</v>
      </c>
      <c r="BJ69" s="573">
        <v>0</v>
      </c>
      <c r="BK69" s="573">
        <v>0</v>
      </c>
      <c r="BL69" s="573">
        <v>0</v>
      </c>
      <c r="BM69" s="573">
        <v>0</v>
      </c>
      <c r="BN69" s="573">
        <v>0</v>
      </c>
      <c r="BO69" s="573">
        <v>0</v>
      </c>
      <c r="BP69" s="573">
        <v>0</v>
      </c>
      <c r="BQ69" s="573">
        <v>0</v>
      </c>
      <c r="BR69" s="573">
        <v>0</v>
      </c>
      <c r="BS69" s="573">
        <v>0</v>
      </c>
      <c r="BT69" s="573">
        <v>0</v>
      </c>
      <c r="BU69" s="573">
        <v>0</v>
      </c>
      <c r="BV69" s="573">
        <v>0</v>
      </c>
      <c r="BW69" s="573">
        <v>0</v>
      </c>
      <c r="BX69" s="573">
        <v>0</v>
      </c>
      <c r="BY69" s="573">
        <v>0</v>
      </c>
      <c r="BZ69" s="573">
        <v>0</v>
      </c>
      <c r="CA69" s="573">
        <v>0</v>
      </c>
      <c r="CB69" s="573">
        <v>0</v>
      </c>
      <c r="CC69" s="573">
        <v>0</v>
      </c>
      <c r="CD69" s="573">
        <v>0</v>
      </c>
      <c r="CE69" s="573">
        <v>0</v>
      </c>
      <c r="CF69" s="573">
        <v>0</v>
      </c>
      <c r="CG69" s="573">
        <v>0</v>
      </c>
      <c r="CH69" s="573">
        <v>0</v>
      </c>
      <c r="CI69" s="573">
        <v>0</v>
      </c>
      <c r="CJ69" s="573">
        <v>0</v>
      </c>
      <c r="CK69" s="573">
        <v>0</v>
      </c>
      <c r="CL69" s="573">
        <v>0</v>
      </c>
      <c r="CM69" s="573"/>
      <c r="CN69" s="573"/>
      <c r="CO69" s="573"/>
      <c r="CP69" s="573"/>
      <c r="CQ69" s="573"/>
      <c r="CR69" s="573"/>
      <c r="CS69" s="573"/>
      <c r="CT69" s="573"/>
      <c r="CU69" s="573"/>
      <c r="CV69" s="573"/>
      <c r="CW69" s="573"/>
      <c r="CX69" s="573"/>
      <c r="CY69" s="573"/>
      <c r="CZ69" s="573"/>
      <c r="DA69" s="573"/>
      <c r="DB69" s="573"/>
      <c r="DC69" s="573"/>
      <c r="DD69" s="573"/>
      <c r="DE69" s="573"/>
      <c r="DF69" s="573"/>
      <c r="DG69" s="573"/>
      <c r="DH69" s="573"/>
      <c r="DI69" s="573"/>
      <c r="DJ69" s="573"/>
      <c r="DK69" s="573"/>
      <c r="DL69" s="573"/>
      <c r="DM69" s="573"/>
      <c r="DN69" s="573"/>
      <c r="DO69" s="573"/>
      <c r="DP69" s="573"/>
      <c r="DQ69" s="573"/>
      <c r="DR69" s="573"/>
      <c r="DS69" s="573"/>
      <c r="DT69" s="573"/>
      <c r="DU69" s="573"/>
      <c r="DV69" s="573"/>
      <c r="DW69" s="649">
        <f t="shared" si="15"/>
        <v>0</v>
      </c>
      <c r="DX69" s="858"/>
      <c r="DY69" s="706"/>
      <c r="DZ69" s="872"/>
      <c r="EA69" s="873"/>
      <c r="EB69" s="859"/>
      <c r="EC69" s="859"/>
      <c r="ED69" s="859"/>
      <c r="EE69" s="859"/>
      <c r="EF69" s="861"/>
      <c r="EG69" s="1107"/>
      <c r="EI69" s="858"/>
      <c r="EJ69" s="877"/>
      <c r="EO69" s="393"/>
      <c r="EQ69" s="419"/>
      <c r="ER69" s="497"/>
    </row>
    <row r="70" spans="1:151" s="314" customFormat="1" outlineLevel="2" x14ac:dyDescent="0.2">
      <c r="A70" s="1041" t="s">
        <v>366</v>
      </c>
      <c r="B70" s="1044" t="s">
        <v>164</v>
      </c>
      <c r="C70" s="902">
        <v>16</v>
      </c>
      <c r="D70" s="863">
        <f>+IFERROR(VLOOKUP(B70,'Detalle Plan de Adquisiciones'!$G$6:$M$66,7,FALSE),0)</f>
        <v>10081617078.620001</v>
      </c>
      <c r="E70" s="1010" t="str">
        <f>+'Detalle Plan de Adquisiciones'!F17</f>
        <v>CONSTRUCCIÓN  DEL PAVIMENTO RÍGIDO, ANDENES Y ESPACIO PÚBLICO DE LA CALLE 8 SUR DESDE VIA GUATEQUE A CASA JUSTICIA, TRANSVERSAL 12 DESDE CASA JUSTICIA HASTA LA CALLE 5; ID (97-98-99) Y LA CONSTRUCCIÓN DE TRES (3) PARADEROS CON ESPACIO PUBLICO, PERTENECIENTES AL SISTEMA ESTRATEGICO DE TRANSPORTE PUBLICO "SETP" DE LA CIUDAD DE MONTERIA</v>
      </c>
      <c r="F70" s="566" t="s">
        <v>410</v>
      </c>
      <c r="G70" s="354">
        <v>0</v>
      </c>
      <c r="H70" s="354">
        <v>0</v>
      </c>
      <c r="I70" s="354">
        <v>0</v>
      </c>
      <c r="J70" s="354">
        <v>0</v>
      </c>
      <c r="K70" s="354">
        <v>0</v>
      </c>
      <c r="L70" s="354">
        <v>0</v>
      </c>
      <c r="M70" s="354">
        <v>0</v>
      </c>
      <c r="N70" s="354">
        <v>0</v>
      </c>
      <c r="O70" s="354">
        <v>0</v>
      </c>
      <c r="P70" s="354">
        <v>0</v>
      </c>
      <c r="Q70" s="354">
        <v>0</v>
      </c>
      <c r="R70" s="354">
        <v>0</v>
      </c>
      <c r="S70" s="354">
        <v>0</v>
      </c>
      <c r="T70" s="354">
        <v>0</v>
      </c>
      <c r="U70" s="354">
        <v>0</v>
      </c>
      <c r="V70" s="354">
        <v>0</v>
      </c>
      <c r="W70" s="354">
        <v>0</v>
      </c>
      <c r="X70" s="354">
        <v>0</v>
      </c>
      <c r="Y70" s="354">
        <v>0</v>
      </c>
      <c r="Z70" s="354">
        <v>0</v>
      </c>
      <c r="AA70" s="354">
        <v>0</v>
      </c>
      <c r="AB70" s="354">
        <v>0</v>
      </c>
      <c r="AC70" s="354">
        <v>0</v>
      </c>
      <c r="AD70" s="354">
        <v>0</v>
      </c>
      <c r="AE70" s="354">
        <v>0</v>
      </c>
      <c r="AF70" s="354">
        <v>0</v>
      </c>
      <c r="AG70" s="354">
        <v>0</v>
      </c>
      <c r="AH70" s="354">
        <v>0</v>
      </c>
      <c r="AI70" s="354">
        <v>0</v>
      </c>
      <c r="AJ70" s="354">
        <v>0</v>
      </c>
      <c r="AK70" s="354">
        <v>0</v>
      </c>
      <c r="AL70" s="354">
        <v>0</v>
      </c>
      <c r="AM70" s="571">
        <v>0</v>
      </c>
      <c r="AN70" s="571">
        <v>0</v>
      </c>
      <c r="AO70" s="571">
        <v>0</v>
      </c>
      <c r="AP70" s="571">
        <v>0</v>
      </c>
      <c r="AQ70" s="571">
        <v>0</v>
      </c>
      <c r="AR70" s="571">
        <v>0</v>
      </c>
      <c r="AS70" s="571">
        <v>0</v>
      </c>
      <c r="AT70" s="571">
        <v>0</v>
      </c>
      <c r="AU70" s="571">
        <v>0</v>
      </c>
      <c r="AV70" s="571">
        <v>0</v>
      </c>
      <c r="AW70" s="571">
        <v>0</v>
      </c>
      <c r="AX70" s="571"/>
      <c r="AY70" s="571">
        <v>0</v>
      </c>
      <c r="AZ70" s="571">
        <v>0</v>
      </c>
      <c r="BA70" s="571">
        <v>0</v>
      </c>
      <c r="BB70" s="571">
        <v>0</v>
      </c>
      <c r="BC70" s="571">
        <v>0</v>
      </c>
      <c r="BD70" s="571">
        <v>0</v>
      </c>
      <c r="BE70" s="571">
        <v>0</v>
      </c>
      <c r="BF70" s="571">
        <v>0</v>
      </c>
      <c r="BG70" s="571">
        <v>0</v>
      </c>
      <c r="BH70" s="571">
        <v>0</v>
      </c>
      <c r="BI70" s="571"/>
      <c r="BJ70" s="571">
        <v>1278.305595</v>
      </c>
      <c r="BK70" s="571">
        <v>0</v>
      </c>
      <c r="BL70" s="571">
        <v>0</v>
      </c>
      <c r="BM70" s="571">
        <v>0</v>
      </c>
      <c r="BN70" s="571">
        <v>1437.3506789999999</v>
      </c>
      <c r="BO70" s="571">
        <v>335.80605100000002</v>
      </c>
      <c r="BP70" s="571">
        <v>0</v>
      </c>
      <c r="BQ70" s="571">
        <v>587.43685700000003</v>
      </c>
      <c r="BR70" s="571">
        <v>0</v>
      </c>
      <c r="BS70" s="571">
        <v>0</v>
      </c>
      <c r="BT70" s="571"/>
      <c r="BU70" s="650">
        <v>1093.0680546200001</v>
      </c>
      <c r="BV70" s="571">
        <v>0</v>
      </c>
      <c r="BW70" s="571">
        <v>0</v>
      </c>
      <c r="BX70" s="571">
        <v>0</v>
      </c>
      <c r="BY70" s="571">
        <v>0</v>
      </c>
      <c r="BZ70" s="571">
        <v>0</v>
      </c>
      <c r="CA70" s="571">
        <v>0</v>
      </c>
      <c r="CB70" s="571">
        <v>0</v>
      </c>
      <c r="CC70" s="571">
        <v>0</v>
      </c>
      <c r="CD70" s="571">
        <v>0</v>
      </c>
      <c r="CE70" s="571">
        <v>0</v>
      </c>
      <c r="CF70" s="571">
        <v>0</v>
      </c>
      <c r="CG70" s="571">
        <v>0</v>
      </c>
      <c r="CH70" s="571">
        <v>0</v>
      </c>
      <c r="CI70" s="571">
        <v>0</v>
      </c>
      <c r="CJ70" s="571">
        <v>0</v>
      </c>
      <c r="CK70" s="571">
        <v>0</v>
      </c>
      <c r="CL70" s="571">
        <v>0</v>
      </c>
      <c r="CM70" s="571"/>
      <c r="CN70" s="571"/>
      <c r="CO70" s="571"/>
      <c r="CP70" s="571"/>
      <c r="CQ70" s="571"/>
      <c r="CR70" s="571"/>
      <c r="CS70" s="571"/>
      <c r="CT70" s="571"/>
      <c r="CU70" s="571"/>
      <c r="CV70" s="571"/>
      <c r="CW70" s="571"/>
      <c r="CX70" s="571"/>
      <c r="CY70" s="571"/>
      <c r="CZ70" s="571"/>
      <c r="DA70" s="571"/>
      <c r="DB70" s="571"/>
      <c r="DC70" s="571"/>
      <c r="DD70" s="571"/>
      <c r="DE70" s="571"/>
      <c r="DF70" s="571"/>
      <c r="DG70" s="571"/>
      <c r="DH70" s="571"/>
      <c r="DI70" s="571"/>
      <c r="DJ70" s="571"/>
      <c r="DK70" s="571"/>
      <c r="DL70" s="571"/>
      <c r="DM70" s="571"/>
      <c r="DN70" s="571"/>
      <c r="DO70" s="571"/>
      <c r="DP70" s="571"/>
      <c r="DQ70" s="571"/>
      <c r="DR70" s="571"/>
      <c r="DS70" s="571"/>
      <c r="DT70" s="571"/>
      <c r="DU70" s="571"/>
      <c r="DV70" s="571"/>
      <c r="DW70" s="672">
        <f t="shared" si="15"/>
        <v>4731.9672366200002</v>
      </c>
      <c r="DX70" s="869">
        <f>DW70+DW71+DW72</f>
        <v>10081.61707812</v>
      </c>
      <c r="DY70" s="704">
        <f>+DX70*1000000</f>
        <v>10081617078.119999</v>
      </c>
      <c r="DZ70" s="870">
        <f>+DY70-D70</f>
        <v>-0.50000190734863281</v>
      </c>
      <c r="EA70" s="873">
        <f>VLOOKUP(POA!$B70,'Detalle Plan de Adquisiciones'!$G$6:$AF$66,23,0)</f>
        <v>41429</v>
      </c>
      <c r="EB70" s="859">
        <f>VLOOKUP(POA!$B70,'Detalle Plan de Adquisiciones'!$G$6:$AF$66,25,0)</f>
        <v>41916</v>
      </c>
      <c r="EC70" s="859">
        <f>EB70+30</f>
        <v>41946</v>
      </c>
      <c r="ED70" s="859" t="str">
        <f>CONCATENATE(MONTH(EA70),"-",YEAR(EA70))</f>
        <v>6-2013</v>
      </c>
      <c r="EE70" s="859" t="str">
        <f>CONCATENATE(MONTH(EB70),"-",YEAR(EB70))</f>
        <v>10-2014</v>
      </c>
      <c r="EF70" s="861" t="str">
        <f>CONCATENATE(MONTH(EC70),"-",YEAR(EC70))</f>
        <v>11-2014</v>
      </c>
      <c r="EG70" s="1105">
        <f>+YEAR(EA70)</f>
        <v>2013</v>
      </c>
      <c r="EH70" s="393">
        <f>+DY70</f>
        <v>10081617078.119999</v>
      </c>
      <c r="EI70" s="858">
        <f>+DW70+DW71+DW72</f>
        <v>10081.61707812</v>
      </c>
      <c r="EJ70" s="877">
        <f>+D70/1000000-EI70</f>
        <v>5.0000016926787794E-7</v>
      </c>
      <c r="EN70" s="429"/>
      <c r="ER70" s="500"/>
    </row>
    <row r="71" spans="1:151" s="278" customFormat="1" outlineLevel="2" x14ac:dyDescent="0.2">
      <c r="A71" s="1042"/>
      <c r="B71" s="1045"/>
      <c r="C71" s="903"/>
      <c r="D71" s="864"/>
      <c r="E71" s="1011"/>
      <c r="F71" s="564" t="s">
        <v>210</v>
      </c>
      <c r="G71" s="363">
        <v>0</v>
      </c>
      <c r="H71" s="363">
        <v>0</v>
      </c>
      <c r="I71" s="363">
        <v>0</v>
      </c>
      <c r="J71" s="363">
        <v>0</v>
      </c>
      <c r="K71" s="363">
        <v>0</v>
      </c>
      <c r="L71" s="363">
        <v>0</v>
      </c>
      <c r="M71" s="363">
        <v>0</v>
      </c>
      <c r="N71" s="363">
        <v>0</v>
      </c>
      <c r="O71" s="363">
        <v>0</v>
      </c>
      <c r="P71" s="363">
        <v>0</v>
      </c>
      <c r="Q71" s="363">
        <v>0</v>
      </c>
      <c r="R71" s="363">
        <v>0</v>
      </c>
      <c r="S71" s="363">
        <v>0</v>
      </c>
      <c r="T71" s="363">
        <v>0</v>
      </c>
      <c r="U71" s="363">
        <v>0</v>
      </c>
      <c r="V71" s="363">
        <v>0</v>
      </c>
      <c r="W71" s="363">
        <v>0</v>
      </c>
      <c r="X71" s="363">
        <v>0</v>
      </c>
      <c r="Y71" s="363">
        <v>0</v>
      </c>
      <c r="Z71" s="363">
        <v>0</v>
      </c>
      <c r="AA71" s="363">
        <v>0</v>
      </c>
      <c r="AB71" s="363">
        <v>0</v>
      </c>
      <c r="AC71" s="363">
        <v>0</v>
      </c>
      <c r="AD71" s="363">
        <v>0</v>
      </c>
      <c r="AE71" s="363">
        <v>0</v>
      </c>
      <c r="AF71" s="363">
        <v>0</v>
      </c>
      <c r="AG71" s="363">
        <v>0</v>
      </c>
      <c r="AH71" s="363">
        <v>0</v>
      </c>
      <c r="AI71" s="363">
        <v>0</v>
      </c>
      <c r="AJ71" s="363">
        <v>0</v>
      </c>
      <c r="AK71" s="363">
        <v>0</v>
      </c>
      <c r="AL71" s="363">
        <v>0</v>
      </c>
      <c r="AM71" s="572">
        <v>0</v>
      </c>
      <c r="AN71" s="572">
        <v>0</v>
      </c>
      <c r="AO71" s="572">
        <v>0</v>
      </c>
      <c r="AP71" s="572">
        <v>0</v>
      </c>
      <c r="AQ71" s="572">
        <v>0</v>
      </c>
      <c r="AR71" s="572">
        <v>0</v>
      </c>
      <c r="AS71" s="572">
        <v>0</v>
      </c>
      <c r="AT71" s="572">
        <v>0</v>
      </c>
      <c r="AU71" s="572">
        <v>0</v>
      </c>
      <c r="AV71" s="572">
        <v>0</v>
      </c>
      <c r="AW71" s="572">
        <v>0</v>
      </c>
      <c r="AX71" s="572"/>
      <c r="AY71" s="572">
        <v>0</v>
      </c>
      <c r="AZ71" s="572">
        <v>0</v>
      </c>
      <c r="BA71" s="572">
        <v>0</v>
      </c>
      <c r="BB71" s="572">
        <v>1023.468003</v>
      </c>
      <c r="BC71" s="572">
        <v>0</v>
      </c>
      <c r="BD71" s="572">
        <v>0</v>
      </c>
      <c r="BE71" s="572">
        <v>997.64646600000003</v>
      </c>
      <c r="BF71" s="572">
        <v>1156.134595</v>
      </c>
      <c r="BG71" s="572">
        <v>0</v>
      </c>
      <c r="BH71" s="572">
        <v>929.40077799999995</v>
      </c>
      <c r="BI71" s="572">
        <v>0</v>
      </c>
      <c r="BJ71" s="572">
        <v>0</v>
      </c>
      <c r="BK71" s="572">
        <v>0</v>
      </c>
      <c r="BL71" s="572">
        <v>0</v>
      </c>
      <c r="BM71" s="572">
        <v>0</v>
      </c>
      <c r="BN71" s="572">
        <v>0</v>
      </c>
      <c r="BO71" s="572">
        <v>0</v>
      </c>
      <c r="BP71" s="572">
        <v>0</v>
      </c>
      <c r="BQ71" s="572">
        <v>0</v>
      </c>
      <c r="BR71" s="572">
        <v>0</v>
      </c>
      <c r="BS71" s="572">
        <v>0</v>
      </c>
      <c r="BT71" s="572"/>
      <c r="BU71" s="572">
        <v>0</v>
      </c>
      <c r="BV71" s="572">
        <v>0</v>
      </c>
      <c r="BW71" s="572">
        <v>0</v>
      </c>
      <c r="BX71" s="572">
        <v>0</v>
      </c>
      <c r="BY71" s="572">
        <v>0</v>
      </c>
      <c r="BZ71" s="572">
        <v>0</v>
      </c>
      <c r="CA71" s="572">
        <v>0</v>
      </c>
      <c r="CB71" s="572">
        <v>0</v>
      </c>
      <c r="CC71" s="572">
        <v>0</v>
      </c>
      <c r="CD71" s="572">
        <v>0</v>
      </c>
      <c r="CE71" s="572">
        <v>0</v>
      </c>
      <c r="CF71" s="572">
        <v>0</v>
      </c>
      <c r="CG71" s="572">
        <v>0</v>
      </c>
      <c r="CH71" s="572">
        <v>0</v>
      </c>
      <c r="CI71" s="572">
        <v>0</v>
      </c>
      <c r="CJ71" s="572">
        <v>0</v>
      </c>
      <c r="CK71" s="572">
        <v>0</v>
      </c>
      <c r="CL71" s="572">
        <v>0</v>
      </c>
      <c r="CM71" s="572"/>
      <c r="CN71" s="572"/>
      <c r="CO71" s="572"/>
      <c r="CP71" s="572"/>
      <c r="CQ71" s="572"/>
      <c r="CR71" s="572"/>
      <c r="CS71" s="572"/>
      <c r="CT71" s="572"/>
      <c r="CU71" s="572"/>
      <c r="CV71" s="572"/>
      <c r="CW71" s="572"/>
      <c r="CX71" s="572"/>
      <c r="CY71" s="572"/>
      <c r="CZ71" s="572"/>
      <c r="DA71" s="572"/>
      <c r="DB71" s="572"/>
      <c r="DC71" s="572"/>
      <c r="DD71" s="572"/>
      <c r="DE71" s="572"/>
      <c r="DF71" s="572"/>
      <c r="DG71" s="572"/>
      <c r="DH71" s="572"/>
      <c r="DI71" s="572"/>
      <c r="DJ71" s="572"/>
      <c r="DK71" s="572"/>
      <c r="DL71" s="572"/>
      <c r="DM71" s="572"/>
      <c r="DN71" s="572"/>
      <c r="DO71" s="572"/>
      <c r="DP71" s="572"/>
      <c r="DQ71" s="572"/>
      <c r="DR71" s="572"/>
      <c r="DS71" s="572"/>
      <c r="DT71" s="572"/>
      <c r="DU71" s="572"/>
      <c r="DV71" s="572"/>
      <c r="DW71" s="673">
        <f t="shared" si="15"/>
        <v>4106.6498419999998</v>
      </c>
      <c r="DX71" s="890"/>
      <c r="DY71" s="705"/>
      <c r="DZ71" s="871"/>
      <c r="EA71" s="873"/>
      <c r="EB71" s="859"/>
      <c r="EC71" s="859"/>
      <c r="ED71" s="859"/>
      <c r="EE71" s="859"/>
      <c r="EF71" s="861"/>
      <c r="EG71" s="1106"/>
      <c r="EI71" s="858"/>
      <c r="EJ71" s="877"/>
      <c r="EN71" s="393"/>
      <c r="ER71" s="497"/>
    </row>
    <row r="72" spans="1:151" s="278" customFormat="1" ht="12.75" outlineLevel="2" thickBot="1" x14ac:dyDescent="0.25">
      <c r="A72" s="1043"/>
      <c r="B72" s="1046"/>
      <c r="C72" s="904"/>
      <c r="D72" s="865"/>
      <c r="E72" s="1024"/>
      <c r="F72" s="565" t="s">
        <v>211</v>
      </c>
      <c r="G72" s="364">
        <v>0</v>
      </c>
      <c r="H72" s="364">
        <v>0</v>
      </c>
      <c r="I72" s="364">
        <v>0</v>
      </c>
      <c r="J72" s="364">
        <v>0</v>
      </c>
      <c r="K72" s="364">
        <v>0</v>
      </c>
      <c r="L72" s="364">
        <v>0</v>
      </c>
      <c r="M72" s="364">
        <v>0</v>
      </c>
      <c r="N72" s="364">
        <v>0</v>
      </c>
      <c r="O72" s="364">
        <v>0</v>
      </c>
      <c r="P72" s="364">
        <v>0</v>
      </c>
      <c r="Q72" s="364">
        <v>0</v>
      </c>
      <c r="R72" s="364">
        <v>0</v>
      </c>
      <c r="S72" s="364">
        <v>0</v>
      </c>
      <c r="T72" s="364">
        <v>0</v>
      </c>
      <c r="U72" s="364">
        <v>0</v>
      </c>
      <c r="V72" s="364">
        <v>0</v>
      </c>
      <c r="W72" s="364">
        <v>0</v>
      </c>
      <c r="X72" s="364">
        <v>0</v>
      </c>
      <c r="Y72" s="364">
        <v>0</v>
      </c>
      <c r="Z72" s="364">
        <v>0</v>
      </c>
      <c r="AA72" s="364">
        <v>0</v>
      </c>
      <c r="AB72" s="364">
        <v>0</v>
      </c>
      <c r="AC72" s="364">
        <v>0</v>
      </c>
      <c r="AD72" s="364">
        <v>0</v>
      </c>
      <c r="AE72" s="364">
        <v>0</v>
      </c>
      <c r="AF72" s="364">
        <v>0</v>
      </c>
      <c r="AG72" s="364">
        <v>0</v>
      </c>
      <c r="AH72" s="364">
        <v>0</v>
      </c>
      <c r="AI72" s="364">
        <v>0</v>
      </c>
      <c r="AJ72" s="364">
        <v>0</v>
      </c>
      <c r="AK72" s="364">
        <v>0</v>
      </c>
      <c r="AL72" s="364">
        <v>0</v>
      </c>
      <c r="AM72" s="573">
        <v>0</v>
      </c>
      <c r="AN72" s="573">
        <v>0</v>
      </c>
      <c r="AO72" s="573">
        <v>0</v>
      </c>
      <c r="AP72" s="573">
        <v>0</v>
      </c>
      <c r="AQ72" s="573">
        <v>0</v>
      </c>
      <c r="AR72" s="573">
        <v>0</v>
      </c>
      <c r="AS72" s="573">
        <v>0</v>
      </c>
      <c r="AT72" s="573">
        <v>0</v>
      </c>
      <c r="AU72" s="573">
        <v>0</v>
      </c>
      <c r="AV72" s="573">
        <v>0</v>
      </c>
      <c r="AW72" s="573">
        <v>0</v>
      </c>
      <c r="AX72" s="573"/>
      <c r="AY72" s="573">
        <v>862.48416550000002</v>
      </c>
      <c r="AZ72" s="573">
        <v>0</v>
      </c>
      <c r="BA72" s="573"/>
      <c r="BB72" s="573"/>
      <c r="BC72" s="573">
        <v>0</v>
      </c>
      <c r="BD72" s="573">
        <v>0</v>
      </c>
      <c r="BE72" s="573">
        <v>0</v>
      </c>
      <c r="BF72" s="573">
        <v>0</v>
      </c>
      <c r="BG72" s="573"/>
      <c r="BH72" s="573">
        <v>0</v>
      </c>
      <c r="BI72" s="573"/>
      <c r="BJ72" s="573"/>
      <c r="BK72" s="573"/>
      <c r="BL72" s="573">
        <v>0</v>
      </c>
      <c r="BM72" s="573">
        <v>0</v>
      </c>
      <c r="BN72" s="573">
        <v>0</v>
      </c>
      <c r="BO72" s="573">
        <v>380.51583399999998</v>
      </c>
      <c r="BP72" s="573">
        <v>0</v>
      </c>
      <c r="BQ72" s="573">
        <v>0</v>
      </c>
      <c r="BR72" s="573">
        <v>0</v>
      </c>
      <c r="BS72" s="573">
        <v>0</v>
      </c>
      <c r="BT72" s="573"/>
      <c r="BU72" s="573">
        <v>0</v>
      </c>
      <c r="BV72" s="573">
        <v>0</v>
      </c>
      <c r="BW72" s="573">
        <v>0</v>
      </c>
      <c r="BX72" s="573">
        <v>0</v>
      </c>
      <c r="BY72" s="573">
        <v>0</v>
      </c>
      <c r="BZ72" s="573">
        <v>0</v>
      </c>
      <c r="CA72" s="573">
        <v>0</v>
      </c>
      <c r="CB72" s="573">
        <v>0</v>
      </c>
      <c r="CC72" s="573">
        <v>0</v>
      </c>
      <c r="CD72" s="573">
        <v>0</v>
      </c>
      <c r="CE72" s="573">
        <v>0</v>
      </c>
      <c r="CF72" s="573">
        <v>0</v>
      </c>
      <c r="CG72" s="573">
        <v>0</v>
      </c>
      <c r="CH72" s="573">
        <v>0</v>
      </c>
      <c r="CI72" s="573">
        <v>0</v>
      </c>
      <c r="CJ72" s="573">
        <v>0</v>
      </c>
      <c r="CK72" s="573">
        <v>0</v>
      </c>
      <c r="CL72" s="573">
        <v>0</v>
      </c>
      <c r="CM72" s="573"/>
      <c r="CN72" s="573"/>
      <c r="CO72" s="573"/>
      <c r="CP72" s="573"/>
      <c r="CQ72" s="573"/>
      <c r="CR72" s="573"/>
      <c r="CS72" s="573"/>
      <c r="CT72" s="573"/>
      <c r="CU72" s="573"/>
      <c r="CV72" s="573"/>
      <c r="CW72" s="573"/>
      <c r="CX72" s="573"/>
      <c r="CY72" s="573"/>
      <c r="CZ72" s="573"/>
      <c r="DA72" s="573"/>
      <c r="DB72" s="573"/>
      <c r="DC72" s="573"/>
      <c r="DD72" s="573"/>
      <c r="DE72" s="573"/>
      <c r="DF72" s="573"/>
      <c r="DG72" s="573"/>
      <c r="DH72" s="573"/>
      <c r="DI72" s="573"/>
      <c r="DJ72" s="573"/>
      <c r="DK72" s="573"/>
      <c r="DL72" s="573"/>
      <c r="DM72" s="573"/>
      <c r="DN72" s="573"/>
      <c r="DO72" s="573"/>
      <c r="DP72" s="573"/>
      <c r="DQ72" s="573"/>
      <c r="DR72" s="573"/>
      <c r="DS72" s="573"/>
      <c r="DT72" s="573"/>
      <c r="DU72" s="573"/>
      <c r="DV72" s="573"/>
      <c r="DW72" s="674">
        <f t="shared" si="15"/>
        <v>1242.9999995000001</v>
      </c>
      <c r="DX72" s="891"/>
      <c r="DY72" s="706"/>
      <c r="DZ72" s="872"/>
      <c r="EA72" s="873"/>
      <c r="EB72" s="859"/>
      <c r="EC72" s="859"/>
      <c r="ED72" s="859"/>
      <c r="EE72" s="859"/>
      <c r="EF72" s="861"/>
      <c r="EG72" s="1107"/>
      <c r="EI72" s="858"/>
      <c r="EJ72" s="877"/>
      <c r="EN72" s="393"/>
      <c r="EO72" s="393"/>
      <c r="ER72" s="497"/>
    </row>
    <row r="73" spans="1:151" s="278" customFormat="1" ht="24" outlineLevel="2" x14ac:dyDescent="0.2">
      <c r="A73" s="892" t="s">
        <v>384</v>
      </c>
      <c r="B73" s="897" t="s">
        <v>170</v>
      </c>
      <c r="C73" s="902">
        <v>14</v>
      </c>
      <c r="D73" s="863">
        <f>+IFERROR(VLOOKUP(B73,'Detalle Plan de Adquisiciones'!$G$6:$M$66,7,FALSE),0)</f>
        <v>17001067611.52</v>
      </c>
      <c r="E73" s="866" t="str">
        <f>+'Detalle Plan de Adquisiciones'!F18</f>
        <v>CONTRUCCION DEL PUENTE VEHICULAR UBICADO EN LA AVENIDA CIRCUNVALAR CON CALLE 29,     ID [PV-1]. PERTENECIENTE AL SISTEMA ESTRATEGICO DE TRANSPORTE PUBLICO "SETP" DE LA CIUDAD DE MONTERIA.</v>
      </c>
      <c r="F73" s="312" t="s">
        <v>410</v>
      </c>
      <c r="G73" s="354">
        <v>0</v>
      </c>
      <c r="H73" s="354">
        <v>0</v>
      </c>
      <c r="I73" s="354">
        <v>0</v>
      </c>
      <c r="J73" s="354">
        <v>0</v>
      </c>
      <c r="K73" s="354">
        <v>0</v>
      </c>
      <c r="L73" s="354">
        <v>0</v>
      </c>
      <c r="M73" s="354">
        <v>0</v>
      </c>
      <c r="N73" s="354">
        <v>0</v>
      </c>
      <c r="O73" s="354">
        <v>0</v>
      </c>
      <c r="P73" s="354">
        <v>0</v>
      </c>
      <c r="Q73" s="354">
        <v>0</v>
      </c>
      <c r="R73" s="354">
        <v>0</v>
      </c>
      <c r="S73" s="354">
        <v>0</v>
      </c>
      <c r="T73" s="354">
        <v>0</v>
      </c>
      <c r="U73" s="354">
        <v>0</v>
      </c>
      <c r="V73" s="354">
        <v>0</v>
      </c>
      <c r="W73" s="354">
        <v>0</v>
      </c>
      <c r="X73" s="354">
        <v>0</v>
      </c>
      <c r="Y73" s="354">
        <v>0</v>
      </c>
      <c r="Z73" s="354">
        <v>0</v>
      </c>
      <c r="AA73" s="354">
        <v>0</v>
      </c>
      <c r="AB73" s="354">
        <v>0</v>
      </c>
      <c r="AC73" s="354">
        <v>0</v>
      </c>
      <c r="AD73" s="354">
        <v>0</v>
      </c>
      <c r="AE73" s="354">
        <v>0</v>
      </c>
      <c r="AF73" s="354">
        <v>0</v>
      </c>
      <c r="AG73" s="354">
        <v>0</v>
      </c>
      <c r="AH73" s="354">
        <v>0</v>
      </c>
      <c r="AI73" s="354">
        <v>0</v>
      </c>
      <c r="AJ73" s="354">
        <v>0</v>
      </c>
      <c r="AK73" s="354">
        <v>0</v>
      </c>
      <c r="AL73" s="354">
        <v>0</v>
      </c>
      <c r="AM73" s="571">
        <v>0</v>
      </c>
      <c r="AN73" s="571">
        <v>0</v>
      </c>
      <c r="AO73" s="571">
        <v>0</v>
      </c>
      <c r="AP73" s="571">
        <v>0</v>
      </c>
      <c r="AQ73" s="571">
        <v>0</v>
      </c>
      <c r="AR73" s="571">
        <v>0</v>
      </c>
      <c r="AS73" s="571">
        <v>0</v>
      </c>
      <c r="AT73" s="571">
        <v>0</v>
      </c>
      <c r="AU73" s="571">
        <v>0</v>
      </c>
      <c r="AV73" s="571">
        <v>0</v>
      </c>
      <c r="AW73" s="571">
        <v>0</v>
      </c>
      <c r="AX73" s="571"/>
      <c r="AY73" s="571">
        <v>0</v>
      </c>
      <c r="AZ73" s="571"/>
      <c r="BA73" s="571">
        <v>0</v>
      </c>
      <c r="BB73" s="571">
        <v>0</v>
      </c>
      <c r="BC73" s="571">
        <v>0</v>
      </c>
      <c r="BD73" s="571">
        <v>0</v>
      </c>
      <c r="BE73" s="571">
        <v>0</v>
      </c>
      <c r="BF73" s="571">
        <v>2860.2838809999998</v>
      </c>
      <c r="BG73" s="571">
        <v>0</v>
      </c>
      <c r="BH73" s="571">
        <v>0</v>
      </c>
      <c r="BI73" s="571">
        <v>0</v>
      </c>
      <c r="BJ73" s="571">
        <v>2215.9775399999999</v>
      </c>
      <c r="BK73" s="571">
        <v>0</v>
      </c>
      <c r="BL73" s="571">
        <v>0</v>
      </c>
      <c r="BM73" s="571">
        <v>0</v>
      </c>
      <c r="BN73" s="571">
        <v>0</v>
      </c>
      <c r="BO73" s="571">
        <v>0</v>
      </c>
      <c r="BP73" s="571">
        <v>0</v>
      </c>
      <c r="BQ73" s="589">
        <v>0</v>
      </c>
      <c r="BR73" s="589">
        <v>888.04071669991185</v>
      </c>
      <c r="BS73" s="589">
        <v>0</v>
      </c>
      <c r="BT73" s="589"/>
      <c r="BU73" s="589"/>
      <c r="BV73" s="589">
        <v>1700.1820392300001</v>
      </c>
      <c r="BW73" s="571">
        <v>0</v>
      </c>
      <c r="BX73" s="571">
        <v>0</v>
      </c>
      <c r="BY73" s="571">
        <v>0</v>
      </c>
      <c r="BZ73" s="571">
        <v>0</v>
      </c>
      <c r="CA73" s="571">
        <v>0</v>
      </c>
      <c r="CB73" s="571">
        <v>0</v>
      </c>
      <c r="CC73" s="571">
        <v>0</v>
      </c>
      <c r="CD73" s="571">
        <v>0</v>
      </c>
      <c r="CE73" s="571">
        <v>0</v>
      </c>
      <c r="CF73" s="571">
        <v>0</v>
      </c>
      <c r="CG73" s="571">
        <v>0</v>
      </c>
      <c r="CH73" s="571">
        <v>0</v>
      </c>
      <c r="CI73" s="571">
        <v>0</v>
      </c>
      <c r="CJ73" s="571">
        <v>0</v>
      </c>
      <c r="CK73" s="571">
        <v>0</v>
      </c>
      <c r="CL73" s="571">
        <v>0</v>
      </c>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43">
        <f t="shared" si="15"/>
        <v>7664.484176929911</v>
      </c>
      <c r="DX73" s="858">
        <f>DW73+DW74+DW75</f>
        <v>17001.067612159997</v>
      </c>
      <c r="DY73" s="707">
        <f>+DX73*1000000</f>
        <v>17001067612.159998</v>
      </c>
      <c r="DZ73" s="870">
        <f>+DY73-D73</f>
        <v>0.63999748229980469</v>
      </c>
      <c r="EA73" s="873">
        <f>VLOOKUP(POA!$B73,'Detalle Plan de Adquisiciones'!$G$6:$AF$66,23,0)</f>
        <v>41485</v>
      </c>
      <c r="EB73" s="859">
        <f>VLOOKUP(POA!$B73,'Detalle Plan de Adquisiciones'!$G$6:$AF$66,25,0)</f>
        <v>41912</v>
      </c>
      <c r="EC73" s="859">
        <f>EB73+30</f>
        <v>41942</v>
      </c>
      <c r="ED73" s="859" t="str">
        <f>CONCATENATE(MONTH(EA73),"-",YEAR(EA73))</f>
        <v>7-2013</v>
      </c>
      <c r="EE73" s="859" t="str">
        <f>CONCATENATE(MONTH(EB73),"-",YEAR(EB73))</f>
        <v>9-2014</v>
      </c>
      <c r="EF73" s="861" t="str">
        <f>CONCATENATE(MONTH(EC73),"-",YEAR(EC73))</f>
        <v>10-2014</v>
      </c>
      <c r="EG73" s="1105">
        <f>+YEAR(EA73)</f>
        <v>2013</v>
      </c>
      <c r="EH73" s="393">
        <f>+DY73</f>
        <v>17001067612.159998</v>
      </c>
      <c r="EI73" s="858">
        <f>+DW73+DW74+DW75</f>
        <v>17001.067612159997</v>
      </c>
      <c r="EJ73" s="877">
        <f>+D73/1000000-EI73</f>
        <v>-6.3999686972238123E-7</v>
      </c>
      <c r="EO73" s="428"/>
      <c r="ER73" s="497"/>
    </row>
    <row r="74" spans="1:151" s="278" customFormat="1" outlineLevel="2" x14ac:dyDescent="0.2">
      <c r="A74" s="893"/>
      <c r="B74" s="886"/>
      <c r="C74" s="903"/>
      <c r="D74" s="864"/>
      <c r="E74" s="867"/>
      <c r="F74" s="311" t="s">
        <v>210</v>
      </c>
      <c r="G74" s="363">
        <v>0</v>
      </c>
      <c r="H74" s="363">
        <v>0</v>
      </c>
      <c r="I74" s="363">
        <v>0</v>
      </c>
      <c r="J74" s="363">
        <v>0</v>
      </c>
      <c r="K74" s="363">
        <v>0</v>
      </c>
      <c r="L74" s="363">
        <v>0</v>
      </c>
      <c r="M74" s="363">
        <v>0</v>
      </c>
      <c r="N74" s="363">
        <v>0</v>
      </c>
      <c r="O74" s="363">
        <v>0</v>
      </c>
      <c r="P74" s="363">
        <v>0</v>
      </c>
      <c r="Q74" s="363">
        <v>0</v>
      </c>
      <c r="R74" s="363">
        <v>0</v>
      </c>
      <c r="S74" s="363">
        <v>0</v>
      </c>
      <c r="T74" s="363">
        <v>0</v>
      </c>
      <c r="U74" s="363">
        <v>0</v>
      </c>
      <c r="V74" s="363">
        <v>0</v>
      </c>
      <c r="W74" s="363">
        <v>0</v>
      </c>
      <c r="X74" s="363">
        <v>0</v>
      </c>
      <c r="Y74" s="363">
        <v>0</v>
      </c>
      <c r="Z74" s="363">
        <v>0</v>
      </c>
      <c r="AA74" s="363">
        <v>0</v>
      </c>
      <c r="AB74" s="363">
        <v>0</v>
      </c>
      <c r="AC74" s="363">
        <v>0</v>
      </c>
      <c r="AD74" s="363">
        <v>0</v>
      </c>
      <c r="AE74" s="363">
        <v>0</v>
      </c>
      <c r="AF74" s="363">
        <v>0</v>
      </c>
      <c r="AG74" s="363">
        <v>0</v>
      </c>
      <c r="AH74" s="363">
        <v>0</v>
      </c>
      <c r="AI74" s="363">
        <v>0</v>
      </c>
      <c r="AJ74" s="363">
        <v>0</v>
      </c>
      <c r="AK74" s="363">
        <v>0</v>
      </c>
      <c r="AL74" s="363">
        <v>0</v>
      </c>
      <c r="AM74" s="572">
        <v>0</v>
      </c>
      <c r="AN74" s="572">
        <v>0</v>
      </c>
      <c r="AO74" s="572">
        <v>0</v>
      </c>
      <c r="AP74" s="572">
        <v>0</v>
      </c>
      <c r="AQ74" s="572">
        <v>0</v>
      </c>
      <c r="AR74" s="572">
        <v>0</v>
      </c>
      <c r="AS74" s="572">
        <v>0</v>
      </c>
      <c r="AT74" s="572">
        <v>0</v>
      </c>
      <c r="AU74" s="572">
        <v>0</v>
      </c>
      <c r="AV74" s="572">
        <v>0</v>
      </c>
      <c r="AW74" s="572">
        <v>0</v>
      </c>
      <c r="AX74" s="572"/>
      <c r="AY74" s="572">
        <v>1369.9416477500004</v>
      </c>
      <c r="AZ74" s="572">
        <v>0</v>
      </c>
      <c r="BA74" s="572">
        <v>0</v>
      </c>
      <c r="BB74" s="572">
        <v>1537.7112847400001</v>
      </c>
      <c r="BC74" s="572">
        <v>0</v>
      </c>
      <c r="BD74" s="572">
        <v>0</v>
      </c>
      <c r="BE74" s="572">
        <v>0</v>
      </c>
      <c r="BF74" s="572">
        <v>0</v>
      </c>
      <c r="BG74" s="572">
        <v>0</v>
      </c>
      <c r="BH74" s="572">
        <v>0</v>
      </c>
      <c r="BI74" s="572">
        <v>0</v>
      </c>
      <c r="BJ74" s="572">
        <v>0</v>
      </c>
      <c r="BK74" s="572">
        <v>0</v>
      </c>
      <c r="BL74" s="572"/>
      <c r="BM74" s="572">
        <v>0</v>
      </c>
      <c r="BN74" s="572">
        <v>1947.301741</v>
      </c>
      <c r="BO74" s="572">
        <v>1060.8358825800001</v>
      </c>
      <c r="BP74" s="572">
        <v>3170.2237112400003</v>
      </c>
      <c r="BQ74" s="572">
        <v>0</v>
      </c>
      <c r="BR74" s="572">
        <v>250.56916792008818</v>
      </c>
      <c r="BS74" s="572">
        <v>0</v>
      </c>
      <c r="BT74" s="572"/>
      <c r="BU74" s="572">
        <v>0</v>
      </c>
      <c r="BV74" s="572">
        <v>0</v>
      </c>
      <c r="BW74" s="572">
        <v>0</v>
      </c>
      <c r="BX74" s="572">
        <v>0</v>
      </c>
      <c r="BY74" s="572">
        <v>0</v>
      </c>
      <c r="BZ74" s="572">
        <v>0</v>
      </c>
      <c r="CA74" s="572">
        <v>0</v>
      </c>
      <c r="CB74" s="572">
        <v>0</v>
      </c>
      <c r="CC74" s="572">
        <v>0</v>
      </c>
      <c r="CD74" s="572">
        <v>0</v>
      </c>
      <c r="CE74" s="572">
        <v>0</v>
      </c>
      <c r="CF74" s="572">
        <v>0</v>
      </c>
      <c r="CG74" s="572">
        <v>0</v>
      </c>
      <c r="CH74" s="572">
        <v>0</v>
      </c>
      <c r="CI74" s="572">
        <v>0</v>
      </c>
      <c r="CJ74" s="572">
        <v>0</v>
      </c>
      <c r="CK74" s="572">
        <v>0</v>
      </c>
      <c r="CL74" s="572">
        <v>0</v>
      </c>
      <c r="CM74" s="572"/>
      <c r="CN74" s="572"/>
      <c r="CO74" s="572"/>
      <c r="CP74" s="572"/>
      <c r="CQ74" s="572"/>
      <c r="CR74" s="572"/>
      <c r="CS74" s="572"/>
      <c r="CT74" s="572"/>
      <c r="CU74" s="572"/>
      <c r="CV74" s="572"/>
      <c r="CW74" s="572"/>
      <c r="CX74" s="572"/>
      <c r="CY74" s="572"/>
      <c r="CZ74" s="572"/>
      <c r="DA74" s="572"/>
      <c r="DB74" s="572"/>
      <c r="DC74" s="572"/>
      <c r="DD74" s="572"/>
      <c r="DE74" s="572"/>
      <c r="DF74" s="572"/>
      <c r="DG74" s="572"/>
      <c r="DH74" s="572"/>
      <c r="DI74" s="572"/>
      <c r="DJ74" s="572"/>
      <c r="DK74" s="572"/>
      <c r="DL74" s="572"/>
      <c r="DM74" s="572"/>
      <c r="DN74" s="572"/>
      <c r="DO74" s="572"/>
      <c r="DP74" s="572"/>
      <c r="DQ74" s="572"/>
      <c r="DR74" s="572"/>
      <c r="DS74" s="572"/>
      <c r="DT74" s="572"/>
      <c r="DU74" s="572"/>
      <c r="DV74" s="572"/>
      <c r="DW74" s="544">
        <f t="shared" si="15"/>
        <v>9336.5834352300881</v>
      </c>
      <c r="DX74" s="858"/>
      <c r="DY74" s="708"/>
      <c r="DZ74" s="871"/>
      <c r="EA74" s="873"/>
      <c r="EB74" s="859"/>
      <c r="EC74" s="859"/>
      <c r="ED74" s="859"/>
      <c r="EE74" s="859"/>
      <c r="EF74" s="861"/>
      <c r="EG74" s="1106"/>
      <c r="EI74" s="858"/>
      <c r="EJ74" s="877"/>
      <c r="EN74" s="424"/>
      <c r="ER74" s="497"/>
      <c r="ES74" s="393"/>
      <c r="EU74" s="393"/>
    </row>
    <row r="75" spans="1:151" s="278" customFormat="1" ht="14.25" customHeight="1" outlineLevel="2" thickBot="1" x14ac:dyDescent="0.25">
      <c r="A75" s="894"/>
      <c r="B75" s="887"/>
      <c r="C75" s="904"/>
      <c r="D75" s="865"/>
      <c r="E75" s="868"/>
      <c r="F75" s="315" t="s">
        <v>211</v>
      </c>
      <c r="G75" s="364">
        <v>0</v>
      </c>
      <c r="H75" s="364">
        <v>0</v>
      </c>
      <c r="I75" s="364">
        <v>0</v>
      </c>
      <c r="J75" s="364">
        <v>0</v>
      </c>
      <c r="K75" s="364">
        <v>0</v>
      </c>
      <c r="L75" s="364">
        <v>0</v>
      </c>
      <c r="M75" s="364">
        <v>0</v>
      </c>
      <c r="N75" s="364">
        <v>0</v>
      </c>
      <c r="O75" s="364">
        <v>0</v>
      </c>
      <c r="P75" s="364">
        <v>0</v>
      </c>
      <c r="Q75" s="364">
        <v>0</v>
      </c>
      <c r="R75" s="364">
        <v>0</v>
      </c>
      <c r="S75" s="364">
        <v>0</v>
      </c>
      <c r="T75" s="364">
        <v>0</v>
      </c>
      <c r="U75" s="364">
        <v>0</v>
      </c>
      <c r="V75" s="364">
        <v>0</v>
      </c>
      <c r="W75" s="364">
        <v>0</v>
      </c>
      <c r="X75" s="364">
        <v>0</v>
      </c>
      <c r="Y75" s="364">
        <v>0</v>
      </c>
      <c r="Z75" s="364">
        <v>0</v>
      </c>
      <c r="AA75" s="364">
        <v>0</v>
      </c>
      <c r="AB75" s="364">
        <v>0</v>
      </c>
      <c r="AC75" s="364">
        <v>0</v>
      </c>
      <c r="AD75" s="364">
        <v>0</v>
      </c>
      <c r="AE75" s="364">
        <v>0</v>
      </c>
      <c r="AF75" s="364">
        <v>0</v>
      </c>
      <c r="AG75" s="364">
        <v>0</v>
      </c>
      <c r="AH75" s="364">
        <v>0</v>
      </c>
      <c r="AI75" s="364">
        <v>0</v>
      </c>
      <c r="AJ75" s="364">
        <v>0</v>
      </c>
      <c r="AK75" s="364">
        <v>0</v>
      </c>
      <c r="AL75" s="364">
        <v>0</v>
      </c>
      <c r="AM75" s="573">
        <v>0</v>
      </c>
      <c r="AN75" s="573">
        <v>0</v>
      </c>
      <c r="AO75" s="573">
        <v>0</v>
      </c>
      <c r="AP75" s="573">
        <v>0</v>
      </c>
      <c r="AQ75" s="573">
        <v>0</v>
      </c>
      <c r="AR75" s="573">
        <v>0</v>
      </c>
      <c r="AS75" s="573">
        <v>0</v>
      </c>
      <c r="AT75" s="573">
        <v>0</v>
      </c>
      <c r="AU75" s="573">
        <v>0</v>
      </c>
      <c r="AV75" s="573">
        <v>0</v>
      </c>
      <c r="AW75" s="573">
        <v>0</v>
      </c>
      <c r="AX75" s="573"/>
      <c r="AY75" s="573">
        <v>0</v>
      </c>
      <c r="AZ75" s="573">
        <v>0</v>
      </c>
      <c r="BA75" s="573">
        <v>0</v>
      </c>
      <c r="BB75" s="573">
        <v>0</v>
      </c>
      <c r="BC75" s="573">
        <v>0</v>
      </c>
      <c r="BD75" s="573">
        <v>0</v>
      </c>
      <c r="BE75" s="573">
        <v>0</v>
      </c>
      <c r="BF75" s="573">
        <v>0</v>
      </c>
      <c r="BG75" s="573">
        <v>0</v>
      </c>
      <c r="BH75" s="573">
        <v>0</v>
      </c>
      <c r="BI75" s="573">
        <v>0</v>
      </c>
      <c r="BJ75" s="573">
        <v>0</v>
      </c>
      <c r="BK75" s="573">
        <v>0</v>
      </c>
      <c r="BL75" s="573">
        <v>0</v>
      </c>
      <c r="BM75" s="573">
        <v>0</v>
      </c>
      <c r="BN75" s="573">
        <v>0</v>
      </c>
      <c r="BO75" s="573"/>
      <c r="BP75" s="573"/>
      <c r="BQ75" s="573">
        <v>0</v>
      </c>
      <c r="BR75" s="573"/>
      <c r="BS75" s="573"/>
      <c r="BT75" s="573"/>
      <c r="BU75" s="573">
        <v>0</v>
      </c>
      <c r="BV75" s="573">
        <v>0</v>
      </c>
      <c r="BW75" s="573">
        <v>0</v>
      </c>
      <c r="BX75" s="573">
        <v>0</v>
      </c>
      <c r="BY75" s="573">
        <v>0</v>
      </c>
      <c r="BZ75" s="573">
        <v>0</v>
      </c>
      <c r="CA75" s="573">
        <v>0</v>
      </c>
      <c r="CB75" s="573">
        <v>0</v>
      </c>
      <c r="CC75" s="573">
        <v>0</v>
      </c>
      <c r="CD75" s="573">
        <v>0</v>
      </c>
      <c r="CE75" s="573">
        <v>0</v>
      </c>
      <c r="CF75" s="573">
        <v>0</v>
      </c>
      <c r="CG75" s="573">
        <v>0</v>
      </c>
      <c r="CH75" s="573">
        <v>0</v>
      </c>
      <c r="CI75" s="573">
        <v>0</v>
      </c>
      <c r="CJ75" s="573">
        <v>0</v>
      </c>
      <c r="CK75" s="573">
        <v>0</v>
      </c>
      <c r="CL75" s="573">
        <v>0</v>
      </c>
      <c r="CM75" s="573"/>
      <c r="CN75" s="573"/>
      <c r="CO75" s="573"/>
      <c r="CP75" s="573"/>
      <c r="CQ75" s="573"/>
      <c r="CR75" s="573"/>
      <c r="CS75" s="573"/>
      <c r="CT75" s="573"/>
      <c r="CU75" s="573"/>
      <c r="CV75" s="573"/>
      <c r="CW75" s="573"/>
      <c r="CX75" s="573"/>
      <c r="CY75" s="573"/>
      <c r="CZ75" s="573"/>
      <c r="DA75" s="573"/>
      <c r="DB75" s="573"/>
      <c r="DC75" s="573"/>
      <c r="DD75" s="573"/>
      <c r="DE75" s="573"/>
      <c r="DF75" s="573"/>
      <c r="DG75" s="573"/>
      <c r="DH75" s="573"/>
      <c r="DI75" s="573"/>
      <c r="DJ75" s="573"/>
      <c r="DK75" s="573"/>
      <c r="DL75" s="573"/>
      <c r="DM75" s="573"/>
      <c r="DN75" s="573"/>
      <c r="DO75" s="573"/>
      <c r="DP75" s="573"/>
      <c r="DQ75" s="573"/>
      <c r="DR75" s="573"/>
      <c r="DS75" s="573"/>
      <c r="DT75" s="573"/>
      <c r="DU75" s="573"/>
      <c r="DV75" s="573"/>
      <c r="DW75" s="649">
        <f t="shared" si="15"/>
        <v>0</v>
      </c>
      <c r="DX75" s="858"/>
      <c r="DY75" s="709"/>
      <c r="DZ75" s="872"/>
      <c r="EA75" s="873"/>
      <c r="EB75" s="859"/>
      <c r="EC75" s="859"/>
      <c r="ED75" s="859"/>
      <c r="EE75" s="859"/>
      <c r="EF75" s="861"/>
      <c r="EG75" s="1107"/>
      <c r="EI75" s="858"/>
      <c r="EJ75" s="877"/>
      <c r="EN75" s="393"/>
      <c r="ER75" s="497"/>
    </row>
    <row r="76" spans="1:151" s="278" customFormat="1" ht="24" outlineLevel="2" x14ac:dyDescent="0.2">
      <c r="A76" s="892" t="s">
        <v>390</v>
      </c>
      <c r="B76" s="897" t="s">
        <v>362</v>
      </c>
      <c r="C76" s="902">
        <v>17</v>
      </c>
      <c r="D76" s="863">
        <f>+IFERROR(VLOOKUP(B76,'Detalle Plan de Adquisiciones'!$G$53:$L$153,6,FALSE),0)</f>
        <v>781053520</v>
      </c>
      <c r="E76" s="866" t="str">
        <f>+'Detalle Plan de Adquisiciones'!F101</f>
        <v>INTERVENTORÍA TÉCNICA, ADMINISTRATIVA, FINANCIERA Y AMBIENTAL A LOS CONTRATOS CUYOS OBJETOS SON: 1. CONSTRUCCIÓN  DEL PAVIMENTO RÍGIDO, ANDENES Y ESPACIO PÚBLICO DE LA CALLE 8 SUR DESDE VÍA GUATEQUE A CASA JUSTICIA, TRANSVERSAL 12 DESDE CASA JUSTICIA HASTA LA CALLE 5; ID (97-98-99), LA CONSTRUCCIÓN DE TRES (3) PARADEROS CON ESPACIO PUBLICO. 2. CONSTRUCCIÓN  DEL INTERCAMBIADOR VIAL [IV-3] EN EL ESTADIO EUGENIO VALDÉS DEL PRADO, PERTENECIENTES AL SISTEMA ESTRATÉGICO DE TRANSPORTE PUBLICO "SETP" DE LA CIUDAD DE MONTERÍA. 3. CONSTRUCCIÓN DEL PAVIMENTO RÍGIDO, ANDENES Y ESPACIO PÚBLICO DE LAS CALLES 21,22 Y 23 ENTRE CARRERAS 1 Y 5, ID (220-221-222). PERTENECIENTE AL SISTEMA ESTRATÉGICO DE TRANSPORTE PUBLICO "SETP" DE LA CIUDAD DE MONTERÍA.</v>
      </c>
      <c r="F76" s="312" t="s">
        <v>410</v>
      </c>
      <c r="G76" s="354">
        <v>0</v>
      </c>
      <c r="H76" s="354">
        <v>0</v>
      </c>
      <c r="I76" s="354">
        <v>0</v>
      </c>
      <c r="J76" s="354">
        <v>0</v>
      </c>
      <c r="K76" s="354">
        <v>0</v>
      </c>
      <c r="L76" s="354">
        <v>0</v>
      </c>
      <c r="M76" s="354">
        <v>0</v>
      </c>
      <c r="N76" s="354">
        <v>0</v>
      </c>
      <c r="O76" s="354">
        <v>0</v>
      </c>
      <c r="P76" s="354">
        <v>0</v>
      </c>
      <c r="Q76" s="354">
        <v>0</v>
      </c>
      <c r="R76" s="354">
        <v>0</v>
      </c>
      <c r="S76" s="354">
        <v>0</v>
      </c>
      <c r="T76" s="354">
        <v>0</v>
      </c>
      <c r="U76" s="354">
        <v>0</v>
      </c>
      <c r="V76" s="354">
        <v>0</v>
      </c>
      <c r="W76" s="354">
        <v>0</v>
      </c>
      <c r="X76" s="354">
        <v>0</v>
      </c>
      <c r="Y76" s="354">
        <v>0</v>
      </c>
      <c r="Z76" s="354">
        <v>0</v>
      </c>
      <c r="AA76" s="354">
        <v>0</v>
      </c>
      <c r="AB76" s="354">
        <v>0</v>
      </c>
      <c r="AC76" s="354">
        <v>0</v>
      </c>
      <c r="AD76" s="354">
        <v>0</v>
      </c>
      <c r="AE76" s="354">
        <v>0</v>
      </c>
      <c r="AF76" s="354">
        <v>0</v>
      </c>
      <c r="AG76" s="354">
        <v>0</v>
      </c>
      <c r="AH76" s="354">
        <v>0</v>
      </c>
      <c r="AI76" s="354">
        <v>0</v>
      </c>
      <c r="AJ76" s="354">
        <v>0</v>
      </c>
      <c r="AK76" s="354">
        <v>0</v>
      </c>
      <c r="AL76" s="354">
        <v>0</v>
      </c>
      <c r="AM76" s="354">
        <v>0</v>
      </c>
      <c r="AN76" s="354">
        <v>0</v>
      </c>
      <c r="AO76" s="354">
        <v>0</v>
      </c>
      <c r="AP76" s="354">
        <v>0</v>
      </c>
      <c r="AQ76" s="354">
        <v>0</v>
      </c>
      <c r="AR76" s="354">
        <v>0</v>
      </c>
      <c r="AS76" s="354">
        <v>0</v>
      </c>
      <c r="AT76" s="354">
        <v>0</v>
      </c>
      <c r="AU76" s="354">
        <v>0</v>
      </c>
      <c r="AV76" s="354">
        <v>0</v>
      </c>
      <c r="AW76" s="354">
        <v>0</v>
      </c>
      <c r="AX76" s="354">
        <v>0</v>
      </c>
      <c r="AY76" s="354">
        <v>0</v>
      </c>
      <c r="AZ76" s="354">
        <v>0</v>
      </c>
      <c r="BA76" s="354">
        <v>0</v>
      </c>
      <c r="BB76" s="354">
        <v>0</v>
      </c>
      <c r="BC76" s="354">
        <v>0</v>
      </c>
      <c r="BD76" s="354">
        <v>0</v>
      </c>
      <c r="BE76" s="354">
        <v>0</v>
      </c>
      <c r="BF76" s="354">
        <v>0</v>
      </c>
      <c r="BG76" s="354">
        <v>0</v>
      </c>
      <c r="BH76" s="354">
        <v>0</v>
      </c>
      <c r="BI76" s="354">
        <v>0</v>
      </c>
      <c r="BJ76" s="354">
        <v>0</v>
      </c>
      <c r="BK76" s="354">
        <v>0</v>
      </c>
      <c r="BL76" s="354">
        <v>0</v>
      </c>
      <c r="BM76" s="354">
        <v>0</v>
      </c>
      <c r="BN76" s="354">
        <v>226.26124799999999</v>
      </c>
      <c r="BO76" s="354">
        <v>113.130624</v>
      </c>
      <c r="BP76" s="567">
        <v>0</v>
      </c>
      <c r="BQ76" s="354">
        <v>0</v>
      </c>
      <c r="BR76" s="354">
        <v>0</v>
      </c>
      <c r="BS76" s="354">
        <v>0</v>
      </c>
      <c r="BT76" s="354"/>
      <c r="BU76" s="354"/>
      <c r="BV76" s="354"/>
      <c r="BW76" s="400">
        <v>82.728013000000004</v>
      </c>
      <c r="BX76" s="400">
        <v>0</v>
      </c>
      <c r="BY76" s="400">
        <v>0</v>
      </c>
      <c r="BZ76" s="400">
        <v>156.21070399999999</v>
      </c>
      <c r="CA76" s="560">
        <v>0</v>
      </c>
      <c r="CB76" s="560">
        <v>0</v>
      </c>
      <c r="CC76" s="560">
        <v>0</v>
      </c>
      <c r="CD76" s="560">
        <v>0</v>
      </c>
      <c r="CE76" s="560">
        <v>0</v>
      </c>
      <c r="CF76" s="560">
        <v>0</v>
      </c>
      <c r="CG76" s="560">
        <v>0</v>
      </c>
      <c r="CH76" s="560">
        <v>0</v>
      </c>
      <c r="CI76" s="560">
        <v>0</v>
      </c>
      <c r="CJ76" s="560">
        <v>0</v>
      </c>
      <c r="CK76" s="560">
        <v>0</v>
      </c>
      <c r="CL76" s="560">
        <v>0</v>
      </c>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543">
        <f t="shared" si="15"/>
        <v>578.33058899999992</v>
      </c>
      <c r="DX76" s="858">
        <f>DW76+DW77+DW78</f>
        <v>781.05351999999993</v>
      </c>
      <c r="DY76" s="704">
        <f>+DX76*1000000</f>
        <v>781053519.99999988</v>
      </c>
      <c r="DZ76" s="870">
        <f>+DY76-D76</f>
        <v>0</v>
      </c>
      <c r="EA76" s="873">
        <f>VLOOKUP(POA!$B76,INTERPLAN,28,0)</f>
        <v>41429</v>
      </c>
      <c r="EB76" s="859">
        <f>+EDATE(EA76,C76)</f>
        <v>41947</v>
      </c>
      <c r="EC76" s="859">
        <f>EB76+30</f>
        <v>41977</v>
      </c>
      <c r="ED76" s="859" t="str">
        <f>CONCATENATE(MONTH(EA76),"-",YEAR(EA76))</f>
        <v>6-2013</v>
      </c>
      <c r="EE76" s="859" t="str">
        <f>CONCATENATE(MONTH(EB76),"-",YEAR(EB76))</f>
        <v>11-2014</v>
      </c>
      <c r="EF76" s="861" t="str">
        <f>CONCATENATE(MONTH(EC76),"-",YEAR(EC76))</f>
        <v>12-2014</v>
      </c>
      <c r="EG76" s="1105">
        <f>+YEAR(EA76)</f>
        <v>2013</v>
      </c>
      <c r="EH76" s="393">
        <f>+DY76</f>
        <v>781053519.99999988</v>
      </c>
      <c r="EI76" s="858">
        <f>+DW76+DW77+DW78</f>
        <v>781.05351999999993</v>
      </c>
      <c r="EJ76" s="877">
        <f>+D76/1000000-EI76</f>
        <v>0</v>
      </c>
      <c r="EN76" s="427"/>
      <c r="EO76" s="427"/>
      <c r="ER76" s="497"/>
      <c r="ET76" s="393"/>
    </row>
    <row r="77" spans="1:151" s="278" customFormat="1" outlineLevel="2" x14ac:dyDescent="0.2">
      <c r="A77" s="893"/>
      <c r="B77" s="886"/>
      <c r="C77" s="903"/>
      <c r="D77" s="864"/>
      <c r="E77" s="867"/>
      <c r="F77" s="311" t="s">
        <v>210</v>
      </c>
      <c r="G77" s="363">
        <v>0</v>
      </c>
      <c r="H77" s="363">
        <v>0</v>
      </c>
      <c r="I77" s="363">
        <v>0</v>
      </c>
      <c r="J77" s="363">
        <v>0</v>
      </c>
      <c r="K77" s="363">
        <v>0</v>
      </c>
      <c r="L77" s="363">
        <v>0</v>
      </c>
      <c r="M77" s="363">
        <v>0</v>
      </c>
      <c r="N77" s="363">
        <v>0</v>
      </c>
      <c r="O77" s="363">
        <v>0</v>
      </c>
      <c r="P77" s="363">
        <v>0</v>
      </c>
      <c r="Q77" s="363">
        <v>0</v>
      </c>
      <c r="R77" s="363">
        <v>0</v>
      </c>
      <c r="S77" s="363">
        <v>0</v>
      </c>
      <c r="T77" s="363">
        <v>0</v>
      </c>
      <c r="U77" s="363">
        <v>0</v>
      </c>
      <c r="V77" s="363">
        <v>0</v>
      </c>
      <c r="W77" s="363">
        <v>0</v>
      </c>
      <c r="X77" s="363">
        <v>0</v>
      </c>
      <c r="Y77" s="363">
        <v>0</v>
      </c>
      <c r="Z77" s="363">
        <v>0</v>
      </c>
      <c r="AA77" s="363">
        <v>0</v>
      </c>
      <c r="AB77" s="363">
        <v>0</v>
      </c>
      <c r="AC77" s="363">
        <v>0</v>
      </c>
      <c r="AD77" s="363">
        <v>0</v>
      </c>
      <c r="AE77" s="363">
        <v>0</v>
      </c>
      <c r="AF77" s="363">
        <v>0</v>
      </c>
      <c r="AG77" s="363">
        <v>0</v>
      </c>
      <c r="AH77" s="363">
        <v>0</v>
      </c>
      <c r="AI77" s="363">
        <v>0</v>
      </c>
      <c r="AJ77" s="363">
        <v>0</v>
      </c>
      <c r="AK77" s="363">
        <v>0</v>
      </c>
      <c r="AL77" s="363">
        <v>0</v>
      </c>
      <c r="AM77" s="363">
        <v>0</v>
      </c>
      <c r="AN77" s="363">
        <v>0</v>
      </c>
      <c r="AO77" s="363">
        <v>0</v>
      </c>
      <c r="AP77" s="363">
        <v>0</v>
      </c>
      <c r="AQ77" s="363">
        <v>0</v>
      </c>
      <c r="AR77" s="363">
        <v>0</v>
      </c>
      <c r="AS77" s="363">
        <v>0</v>
      </c>
      <c r="AT77" s="363">
        <v>0</v>
      </c>
      <c r="AU77" s="363">
        <v>0</v>
      </c>
      <c r="AV77" s="363">
        <v>0</v>
      </c>
      <c r="AW77" s="363">
        <v>0</v>
      </c>
      <c r="AX77" s="363"/>
      <c r="AY77" s="363">
        <v>0</v>
      </c>
      <c r="AZ77" s="363">
        <v>0</v>
      </c>
      <c r="BA77" s="363">
        <v>0</v>
      </c>
      <c r="BB77" s="363">
        <v>52.794291000000001</v>
      </c>
      <c r="BC77" s="363">
        <v>0</v>
      </c>
      <c r="BD77" s="411">
        <v>0</v>
      </c>
      <c r="BE77" s="363">
        <v>0</v>
      </c>
      <c r="BF77" s="363">
        <v>0</v>
      </c>
      <c r="BG77" s="363">
        <v>0</v>
      </c>
      <c r="BH77" s="363">
        <v>0</v>
      </c>
      <c r="BI77" s="363">
        <v>0</v>
      </c>
      <c r="BJ77" s="363"/>
      <c r="BK77" s="363">
        <v>0</v>
      </c>
      <c r="BL77" s="363">
        <v>0</v>
      </c>
      <c r="BM77" s="363">
        <v>0</v>
      </c>
      <c r="BN77" s="363">
        <v>0</v>
      </c>
      <c r="BO77" s="363">
        <v>0</v>
      </c>
      <c r="BP77" s="363">
        <v>0</v>
      </c>
      <c r="BQ77" s="363">
        <v>0</v>
      </c>
      <c r="BR77" s="363">
        <v>0</v>
      </c>
      <c r="BS77" s="363">
        <v>0</v>
      </c>
      <c r="BT77" s="363"/>
      <c r="BU77" s="363"/>
      <c r="BV77" s="363"/>
      <c r="BW77" s="363">
        <v>0</v>
      </c>
      <c r="BX77" s="363">
        <v>0</v>
      </c>
      <c r="BY77" s="363">
        <v>0</v>
      </c>
      <c r="BZ77" s="363">
        <v>0</v>
      </c>
      <c r="CA77" s="363">
        <v>0</v>
      </c>
      <c r="CB77" s="363">
        <v>0</v>
      </c>
      <c r="CC77" s="363">
        <v>0</v>
      </c>
      <c r="CD77" s="363">
        <v>0</v>
      </c>
      <c r="CE77" s="363">
        <v>0</v>
      </c>
      <c r="CF77" s="363">
        <v>0</v>
      </c>
      <c r="CG77" s="363">
        <v>0</v>
      </c>
      <c r="CH77" s="363">
        <v>0</v>
      </c>
      <c r="CI77" s="363">
        <v>0</v>
      </c>
      <c r="CJ77" s="363">
        <v>0</v>
      </c>
      <c r="CK77" s="363">
        <v>0</v>
      </c>
      <c r="CL77" s="363">
        <v>0</v>
      </c>
      <c r="CM77" s="363"/>
      <c r="CN77" s="363"/>
      <c r="CO77" s="363"/>
      <c r="CP77" s="363"/>
      <c r="CQ77" s="363"/>
      <c r="CR77" s="363"/>
      <c r="CS77" s="363"/>
      <c r="CT77" s="363"/>
      <c r="CU77" s="363"/>
      <c r="CV77" s="363"/>
      <c r="CW77" s="363"/>
      <c r="CX77" s="363"/>
      <c r="CY77" s="363"/>
      <c r="CZ77" s="363"/>
      <c r="DA77" s="363"/>
      <c r="DB77" s="363"/>
      <c r="DC77" s="363"/>
      <c r="DD77" s="363"/>
      <c r="DE77" s="363"/>
      <c r="DF77" s="363"/>
      <c r="DG77" s="363"/>
      <c r="DH77" s="363"/>
      <c r="DI77" s="363"/>
      <c r="DJ77" s="363"/>
      <c r="DK77" s="363"/>
      <c r="DL77" s="363"/>
      <c r="DM77" s="363"/>
      <c r="DN77" s="363"/>
      <c r="DO77" s="363"/>
      <c r="DP77" s="363"/>
      <c r="DQ77" s="363"/>
      <c r="DR77" s="363"/>
      <c r="DS77" s="363"/>
      <c r="DT77" s="363"/>
      <c r="DU77" s="363"/>
      <c r="DV77" s="363"/>
      <c r="DW77" s="544">
        <f t="shared" si="15"/>
        <v>52.794291000000001</v>
      </c>
      <c r="DX77" s="858"/>
      <c r="DY77" s="705"/>
      <c r="DZ77" s="871"/>
      <c r="EA77" s="873"/>
      <c r="EB77" s="859"/>
      <c r="EC77" s="859"/>
      <c r="ED77" s="859"/>
      <c r="EE77" s="859"/>
      <c r="EF77" s="861"/>
      <c r="EG77" s="1106"/>
      <c r="EI77" s="858"/>
      <c r="EJ77" s="877"/>
      <c r="EN77" s="427"/>
      <c r="ER77" s="497"/>
    </row>
    <row r="78" spans="1:151" s="278" customFormat="1" ht="17.25" customHeight="1" outlineLevel="2" thickBot="1" x14ac:dyDescent="0.25">
      <c r="A78" s="894"/>
      <c r="B78" s="887"/>
      <c r="C78" s="904"/>
      <c r="D78" s="865"/>
      <c r="E78" s="868"/>
      <c r="F78" s="315" t="s">
        <v>211</v>
      </c>
      <c r="G78" s="364">
        <v>0</v>
      </c>
      <c r="H78" s="364">
        <v>0</v>
      </c>
      <c r="I78" s="364">
        <v>0</v>
      </c>
      <c r="J78" s="364">
        <v>0</v>
      </c>
      <c r="K78" s="364">
        <v>0</v>
      </c>
      <c r="L78" s="364">
        <v>0</v>
      </c>
      <c r="M78" s="364">
        <v>0</v>
      </c>
      <c r="N78" s="364">
        <v>0</v>
      </c>
      <c r="O78" s="364">
        <v>0</v>
      </c>
      <c r="P78" s="364">
        <v>0</v>
      </c>
      <c r="Q78" s="364">
        <v>0</v>
      </c>
      <c r="R78" s="364">
        <v>0</v>
      </c>
      <c r="S78" s="364">
        <v>0</v>
      </c>
      <c r="T78" s="364">
        <v>0</v>
      </c>
      <c r="U78" s="364">
        <v>0</v>
      </c>
      <c r="V78" s="364">
        <v>0</v>
      </c>
      <c r="W78" s="364">
        <v>0</v>
      </c>
      <c r="X78" s="364">
        <v>0</v>
      </c>
      <c r="Y78" s="364">
        <v>0</v>
      </c>
      <c r="Z78" s="364">
        <v>0</v>
      </c>
      <c r="AA78" s="364">
        <v>0</v>
      </c>
      <c r="AB78" s="364">
        <v>0</v>
      </c>
      <c r="AC78" s="364">
        <v>0</v>
      </c>
      <c r="AD78" s="364">
        <v>0</v>
      </c>
      <c r="AE78" s="364">
        <v>0</v>
      </c>
      <c r="AF78" s="364">
        <v>0</v>
      </c>
      <c r="AG78" s="364">
        <v>0</v>
      </c>
      <c r="AH78" s="364">
        <v>0</v>
      </c>
      <c r="AI78" s="364">
        <v>0</v>
      </c>
      <c r="AJ78" s="364">
        <v>0</v>
      </c>
      <c r="AK78" s="364">
        <v>0</v>
      </c>
      <c r="AL78" s="364">
        <v>0</v>
      </c>
      <c r="AM78" s="364">
        <v>0</v>
      </c>
      <c r="AN78" s="364">
        <v>0</v>
      </c>
      <c r="AO78" s="364">
        <v>0</v>
      </c>
      <c r="AP78" s="364">
        <v>0</v>
      </c>
      <c r="AQ78" s="364">
        <v>0</v>
      </c>
      <c r="AR78" s="364">
        <v>0</v>
      </c>
      <c r="AS78" s="364">
        <v>0</v>
      </c>
      <c r="AT78" s="364">
        <v>0</v>
      </c>
      <c r="AU78" s="364">
        <v>0</v>
      </c>
      <c r="AV78" s="364">
        <v>0</v>
      </c>
      <c r="AW78" s="364">
        <v>0</v>
      </c>
      <c r="AX78" s="364">
        <v>0</v>
      </c>
      <c r="AY78" s="364">
        <v>0</v>
      </c>
      <c r="AZ78" s="364">
        <v>0</v>
      </c>
      <c r="BA78" s="364">
        <v>0</v>
      </c>
      <c r="BB78" s="364">
        <v>54.926093000000002</v>
      </c>
      <c r="BC78" s="364">
        <v>0</v>
      </c>
      <c r="BD78" s="364">
        <v>0</v>
      </c>
      <c r="BE78" s="364">
        <v>0</v>
      </c>
      <c r="BF78" s="364">
        <v>75.420416000000003</v>
      </c>
      <c r="BG78" s="364">
        <v>0</v>
      </c>
      <c r="BH78" s="364">
        <v>0</v>
      </c>
      <c r="BI78" s="364">
        <v>0</v>
      </c>
      <c r="BJ78" s="364">
        <v>0</v>
      </c>
      <c r="BK78" s="364">
        <v>0</v>
      </c>
      <c r="BL78" s="364">
        <v>0</v>
      </c>
      <c r="BM78" s="364">
        <v>0</v>
      </c>
      <c r="BN78" s="364">
        <v>0</v>
      </c>
      <c r="BO78" s="364">
        <v>0</v>
      </c>
      <c r="BP78" s="364">
        <v>0</v>
      </c>
      <c r="BQ78" s="364">
        <v>0</v>
      </c>
      <c r="BR78" s="364">
        <v>0</v>
      </c>
      <c r="BS78" s="364">
        <v>0</v>
      </c>
      <c r="BT78" s="364"/>
      <c r="BU78" s="364"/>
      <c r="BV78" s="364"/>
      <c r="BW78" s="364">
        <v>19.582131</v>
      </c>
      <c r="BX78" s="364">
        <v>0</v>
      </c>
      <c r="BY78" s="364">
        <v>0</v>
      </c>
      <c r="BZ78" s="364">
        <v>0</v>
      </c>
      <c r="CA78" s="364">
        <v>0</v>
      </c>
      <c r="CB78" s="364">
        <v>0</v>
      </c>
      <c r="CC78" s="364">
        <v>0</v>
      </c>
      <c r="CD78" s="364">
        <v>0</v>
      </c>
      <c r="CE78" s="364">
        <v>0</v>
      </c>
      <c r="CF78" s="364">
        <v>0</v>
      </c>
      <c r="CG78" s="364">
        <v>0</v>
      </c>
      <c r="CH78" s="364">
        <v>0</v>
      </c>
      <c r="CI78" s="364">
        <v>0</v>
      </c>
      <c r="CJ78" s="364">
        <v>0</v>
      </c>
      <c r="CK78" s="364">
        <v>0</v>
      </c>
      <c r="CL78" s="364">
        <v>0</v>
      </c>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4"/>
      <c r="DJ78" s="364"/>
      <c r="DK78" s="364"/>
      <c r="DL78" s="364"/>
      <c r="DM78" s="364"/>
      <c r="DN78" s="364"/>
      <c r="DO78" s="364"/>
      <c r="DP78" s="364"/>
      <c r="DQ78" s="364"/>
      <c r="DR78" s="364"/>
      <c r="DS78" s="364"/>
      <c r="DT78" s="364"/>
      <c r="DU78" s="364"/>
      <c r="DV78" s="364"/>
      <c r="DW78" s="649">
        <f t="shared" si="15"/>
        <v>149.92864</v>
      </c>
      <c r="DX78" s="858"/>
      <c r="DY78" s="706"/>
      <c r="DZ78" s="872"/>
      <c r="EA78" s="873"/>
      <c r="EB78" s="859"/>
      <c r="EC78" s="859"/>
      <c r="ED78" s="859"/>
      <c r="EE78" s="859"/>
      <c r="EF78" s="861"/>
      <c r="EG78" s="1107"/>
      <c r="EI78" s="858"/>
      <c r="EJ78" s="877"/>
      <c r="EN78" s="426"/>
      <c r="ER78" s="497"/>
    </row>
    <row r="79" spans="1:151" s="278" customFormat="1" ht="24" outlineLevel="2" x14ac:dyDescent="0.2">
      <c r="A79" s="892" t="s">
        <v>391</v>
      </c>
      <c r="B79" s="897" t="s">
        <v>170</v>
      </c>
      <c r="C79" s="902">
        <v>14</v>
      </c>
      <c r="D79" s="863">
        <f>+IFERROR(VLOOKUP(B79,'Detalle Plan de Adquisiciones'!$G$53:$L$153,6,FALSE),0)</f>
        <v>685212000</v>
      </c>
      <c r="E79" s="866" t="str">
        <f>+'Detalle Plan de Adquisiciones'!F102</f>
        <v>INTERVENTORÍA TECNICA, ADMINISTRATIVA, FINANCIERA Y AMBIENTAL AL CONTRATO CUYO OBJETO ES: CONTRUCCION DEL PUENTE VEHICULAR UBICADO EN LA AVENIDA CIRCUNVALAR CON CALLE 29,     ID [PV-1]. PERTENECIENTE AL SISTEMA ESTRATEGICO DE TRANSPORTE PUBLICO "SETP" DE LA CIUDAD DE MONTERIA.</v>
      </c>
      <c r="F79" s="312" t="s">
        <v>410</v>
      </c>
      <c r="G79" s="354">
        <v>0</v>
      </c>
      <c r="H79" s="354">
        <v>0</v>
      </c>
      <c r="I79" s="354">
        <v>0</v>
      </c>
      <c r="J79" s="354">
        <v>0</v>
      </c>
      <c r="K79" s="354">
        <v>0</v>
      </c>
      <c r="L79" s="354">
        <v>0</v>
      </c>
      <c r="M79" s="354">
        <v>0</v>
      </c>
      <c r="N79" s="354">
        <v>0</v>
      </c>
      <c r="O79" s="354">
        <v>0</v>
      </c>
      <c r="P79" s="354">
        <v>0</v>
      </c>
      <c r="Q79" s="354">
        <v>0</v>
      </c>
      <c r="R79" s="354">
        <v>0</v>
      </c>
      <c r="S79" s="354">
        <v>0</v>
      </c>
      <c r="T79" s="354">
        <v>0</v>
      </c>
      <c r="U79" s="354">
        <v>0</v>
      </c>
      <c r="V79" s="354">
        <v>0</v>
      </c>
      <c r="W79" s="354">
        <v>0</v>
      </c>
      <c r="X79" s="354">
        <v>0</v>
      </c>
      <c r="Y79" s="354">
        <v>0</v>
      </c>
      <c r="Z79" s="354">
        <v>0</v>
      </c>
      <c r="AA79" s="354">
        <v>0</v>
      </c>
      <c r="AB79" s="354">
        <v>0</v>
      </c>
      <c r="AC79" s="354">
        <v>0</v>
      </c>
      <c r="AD79" s="354">
        <v>0</v>
      </c>
      <c r="AE79" s="354">
        <v>0</v>
      </c>
      <c r="AF79" s="354">
        <v>0</v>
      </c>
      <c r="AG79" s="354">
        <v>0</v>
      </c>
      <c r="AH79" s="354">
        <v>0</v>
      </c>
      <c r="AI79" s="354">
        <v>0</v>
      </c>
      <c r="AJ79" s="354">
        <v>0</v>
      </c>
      <c r="AK79" s="354">
        <v>0</v>
      </c>
      <c r="AL79" s="354">
        <v>0</v>
      </c>
      <c r="AM79" s="354">
        <v>0</v>
      </c>
      <c r="AN79" s="354">
        <v>0</v>
      </c>
      <c r="AO79" s="354">
        <v>0</v>
      </c>
      <c r="AP79" s="354">
        <v>0</v>
      </c>
      <c r="AQ79" s="354">
        <v>0</v>
      </c>
      <c r="AR79" s="354">
        <v>0</v>
      </c>
      <c r="AS79" s="354">
        <v>0</v>
      </c>
      <c r="AT79" s="354">
        <v>0</v>
      </c>
      <c r="AU79" s="354">
        <v>0</v>
      </c>
      <c r="AV79" s="354">
        <v>0</v>
      </c>
      <c r="AW79" s="354">
        <v>0</v>
      </c>
      <c r="AX79" s="354">
        <v>0</v>
      </c>
      <c r="AY79" s="354">
        <v>0</v>
      </c>
      <c r="AZ79" s="400">
        <v>0</v>
      </c>
      <c r="BA79" s="400">
        <v>0</v>
      </c>
      <c r="BB79" s="400">
        <v>0</v>
      </c>
      <c r="BC79" s="400">
        <v>0</v>
      </c>
      <c r="BD79" s="400">
        <v>0</v>
      </c>
      <c r="BE79" s="400">
        <v>0</v>
      </c>
      <c r="BF79" s="400">
        <v>0</v>
      </c>
      <c r="BG79" s="400">
        <v>0</v>
      </c>
      <c r="BH79" s="400">
        <v>0</v>
      </c>
      <c r="BI79" s="400">
        <v>0</v>
      </c>
      <c r="BJ79" s="400">
        <v>0</v>
      </c>
      <c r="BK79" s="400">
        <v>0</v>
      </c>
      <c r="BL79" s="400">
        <v>0</v>
      </c>
      <c r="BM79" s="354">
        <v>0</v>
      </c>
      <c r="BN79" s="354">
        <v>0</v>
      </c>
      <c r="BO79" s="354">
        <v>0</v>
      </c>
      <c r="BP79" s="354">
        <v>0</v>
      </c>
      <c r="BQ79" s="651">
        <v>27.459520000000001</v>
      </c>
      <c r="BR79" s="354">
        <v>27.459520000000001</v>
      </c>
      <c r="BS79" s="354">
        <v>0</v>
      </c>
      <c r="BT79" s="354"/>
      <c r="BU79" s="354">
        <v>82.378559999999993</v>
      </c>
      <c r="BV79" s="354">
        <v>0</v>
      </c>
      <c r="BW79" s="354">
        <v>0</v>
      </c>
      <c r="BX79" s="354">
        <v>0</v>
      </c>
      <c r="BY79" s="354">
        <v>0</v>
      </c>
      <c r="BZ79" s="354">
        <v>0</v>
      </c>
      <c r="CA79" s="560">
        <v>0</v>
      </c>
      <c r="CB79" s="560">
        <v>0</v>
      </c>
      <c r="CC79" s="560">
        <v>0</v>
      </c>
      <c r="CD79" s="560">
        <v>0</v>
      </c>
      <c r="CE79" s="560">
        <v>0</v>
      </c>
      <c r="CF79" s="560">
        <v>0</v>
      </c>
      <c r="CG79" s="560">
        <v>0</v>
      </c>
      <c r="CH79" s="560">
        <v>0</v>
      </c>
      <c r="CI79" s="560">
        <v>0</v>
      </c>
      <c r="CJ79" s="560">
        <v>0</v>
      </c>
      <c r="CK79" s="560">
        <v>0</v>
      </c>
      <c r="CL79" s="560">
        <v>0</v>
      </c>
      <c r="CM79" s="354"/>
      <c r="CN79" s="354"/>
      <c r="CO79" s="354"/>
      <c r="CP79" s="354"/>
      <c r="CQ79" s="354"/>
      <c r="CR79" s="354"/>
      <c r="CS79" s="354"/>
      <c r="CT79" s="354"/>
      <c r="CU79" s="354"/>
      <c r="CV79" s="354"/>
      <c r="CW79" s="354"/>
      <c r="CX79" s="354"/>
      <c r="CY79" s="354"/>
      <c r="CZ79" s="354"/>
      <c r="DA79" s="354"/>
      <c r="DB79" s="354"/>
      <c r="DC79" s="354"/>
      <c r="DD79" s="354"/>
      <c r="DE79" s="354"/>
      <c r="DF79" s="354"/>
      <c r="DG79" s="354"/>
      <c r="DH79" s="354"/>
      <c r="DI79" s="354"/>
      <c r="DJ79" s="354"/>
      <c r="DK79" s="354"/>
      <c r="DL79" s="354"/>
      <c r="DM79" s="354"/>
      <c r="DN79" s="354"/>
      <c r="DO79" s="354"/>
      <c r="DP79" s="354"/>
      <c r="DQ79" s="354"/>
      <c r="DR79" s="354"/>
      <c r="DS79" s="354"/>
      <c r="DT79" s="354"/>
      <c r="DU79" s="354"/>
      <c r="DV79" s="354"/>
      <c r="DW79" s="543">
        <f t="shared" si="15"/>
        <v>137.29759999999999</v>
      </c>
      <c r="DX79" s="869">
        <f>DW79+DW80+DW81</f>
        <v>685.2120000000001</v>
      </c>
      <c r="DY79" s="704">
        <f>+DX79*1000000</f>
        <v>685212000.00000012</v>
      </c>
      <c r="DZ79" s="870">
        <f>+DY79-D79</f>
        <v>0</v>
      </c>
      <c r="EA79" s="873">
        <f>VLOOKUP(POA!$B79,INTERPLAN,28,0)</f>
        <v>41469</v>
      </c>
      <c r="EB79" s="859">
        <f>+EDATE(EA79,C79)</f>
        <v>41896</v>
      </c>
      <c r="EC79" s="859">
        <f>EB79+30</f>
        <v>41926</v>
      </c>
      <c r="ED79" s="859" t="str">
        <f>CONCATENATE(MONTH(EA79),"-",YEAR(EA79))</f>
        <v>7-2013</v>
      </c>
      <c r="EE79" s="859" t="str">
        <f>CONCATENATE(MONTH(EB79),"-",YEAR(EB79))</f>
        <v>9-2014</v>
      </c>
      <c r="EF79" s="861" t="str">
        <f>CONCATENATE(MONTH(EC79),"-",YEAR(EC79))</f>
        <v>10-2014</v>
      </c>
      <c r="EG79" s="1105">
        <f>+YEAR(EA79)</f>
        <v>2013</v>
      </c>
      <c r="EH79" s="393">
        <f>+DY79</f>
        <v>685212000.00000012</v>
      </c>
      <c r="EI79" s="858">
        <f>+DW79+DW80+DW81</f>
        <v>685.2120000000001</v>
      </c>
      <c r="EJ79" s="877">
        <f>+D79/1000000-EI79</f>
        <v>0</v>
      </c>
      <c r="ER79" s="497"/>
    </row>
    <row r="80" spans="1:151" s="278" customFormat="1" outlineLevel="2" x14ac:dyDescent="0.2">
      <c r="A80" s="893"/>
      <c r="B80" s="886"/>
      <c r="C80" s="903"/>
      <c r="D80" s="864"/>
      <c r="E80" s="867"/>
      <c r="F80" s="311" t="s">
        <v>210</v>
      </c>
      <c r="G80" s="363">
        <v>0</v>
      </c>
      <c r="H80" s="363">
        <v>0</v>
      </c>
      <c r="I80" s="363">
        <v>0</v>
      </c>
      <c r="J80" s="363">
        <v>0</v>
      </c>
      <c r="K80" s="363">
        <v>0</v>
      </c>
      <c r="L80" s="363">
        <v>0</v>
      </c>
      <c r="M80" s="363">
        <v>0</v>
      </c>
      <c r="N80" s="363">
        <v>0</v>
      </c>
      <c r="O80" s="363">
        <v>0</v>
      </c>
      <c r="P80" s="363">
        <v>0</v>
      </c>
      <c r="Q80" s="363">
        <v>0</v>
      </c>
      <c r="R80" s="363">
        <v>0</v>
      </c>
      <c r="S80" s="363">
        <v>0</v>
      </c>
      <c r="T80" s="363">
        <v>0</v>
      </c>
      <c r="U80" s="363">
        <v>0</v>
      </c>
      <c r="V80" s="363">
        <v>0</v>
      </c>
      <c r="W80" s="363">
        <v>0</v>
      </c>
      <c r="X80" s="363">
        <v>0</v>
      </c>
      <c r="Y80" s="363">
        <v>0</v>
      </c>
      <c r="Z80" s="363">
        <v>0</v>
      </c>
      <c r="AA80" s="363">
        <v>0</v>
      </c>
      <c r="AB80" s="363">
        <v>0</v>
      </c>
      <c r="AC80" s="363">
        <v>0</v>
      </c>
      <c r="AD80" s="363">
        <v>0</v>
      </c>
      <c r="AE80" s="363">
        <v>0</v>
      </c>
      <c r="AF80" s="363">
        <v>0</v>
      </c>
      <c r="AG80" s="363">
        <v>0</v>
      </c>
      <c r="AH80" s="363">
        <v>0</v>
      </c>
      <c r="AI80" s="363">
        <v>0</v>
      </c>
      <c r="AJ80" s="363">
        <v>0</v>
      </c>
      <c r="AK80" s="363">
        <v>0</v>
      </c>
      <c r="AL80" s="363">
        <v>0</v>
      </c>
      <c r="AM80" s="363">
        <v>0</v>
      </c>
      <c r="AN80" s="363">
        <v>0</v>
      </c>
      <c r="AO80" s="363">
        <v>0</v>
      </c>
      <c r="AP80" s="363">
        <v>0</v>
      </c>
      <c r="AQ80" s="363">
        <v>0</v>
      </c>
      <c r="AR80" s="363">
        <v>0</v>
      </c>
      <c r="AS80" s="363">
        <v>0</v>
      </c>
      <c r="AT80" s="363">
        <v>0</v>
      </c>
      <c r="AU80" s="363">
        <v>0</v>
      </c>
      <c r="AV80" s="363">
        <v>0</v>
      </c>
      <c r="AW80" s="363">
        <v>0</v>
      </c>
      <c r="AX80" s="363">
        <v>0</v>
      </c>
      <c r="AY80" s="363">
        <v>0</v>
      </c>
      <c r="AZ80" s="423">
        <v>0</v>
      </c>
      <c r="BA80" s="423">
        <v>0</v>
      </c>
      <c r="BB80" s="423">
        <v>0</v>
      </c>
      <c r="BC80" s="423">
        <v>0</v>
      </c>
      <c r="BD80" s="423">
        <v>0</v>
      </c>
      <c r="BE80" s="423">
        <v>0</v>
      </c>
      <c r="BF80" s="423">
        <v>0</v>
      </c>
      <c r="BG80" s="423">
        <v>0</v>
      </c>
      <c r="BH80" s="423">
        <v>0</v>
      </c>
      <c r="BI80" s="423">
        <v>0</v>
      </c>
      <c r="BJ80" s="423">
        <v>0</v>
      </c>
      <c r="BK80" s="423">
        <v>0</v>
      </c>
      <c r="BL80" s="423">
        <v>0</v>
      </c>
      <c r="BM80" s="363">
        <v>0</v>
      </c>
      <c r="BN80" s="363">
        <v>0</v>
      </c>
      <c r="BO80" s="363">
        <v>0</v>
      </c>
      <c r="BP80" s="363">
        <v>0</v>
      </c>
      <c r="BQ80" s="363">
        <v>0</v>
      </c>
      <c r="BR80" s="363">
        <v>0</v>
      </c>
      <c r="BS80" s="363">
        <v>0</v>
      </c>
      <c r="BT80" s="363"/>
      <c r="BU80" s="363">
        <v>0</v>
      </c>
      <c r="BV80" s="363">
        <v>0</v>
      </c>
      <c r="BW80" s="363">
        <v>0</v>
      </c>
      <c r="BX80" s="363">
        <v>0</v>
      </c>
      <c r="BY80" s="363">
        <v>0</v>
      </c>
      <c r="BZ80" s="363">
        <v>0</v>
      </c>
      <c r="CA80" s="363">
        <v>0</v>
      </c>
      <c r="CB80" s="363">
        <v>0</v>
      </c>
      <c r="CC80" s="363">
        <v>0</v>
      </c>
      <c r="CD80" s="363">
        <v>0</v>
      </c>
      <c r="CE80" s="363">
        <v>0</v>
      </c>
      <c r="CF80" s="363">
        <v>0</v>
      </c>
      <c r="CG80" s="363">
        <v>0</v>
      </c>
      <c r="CH80" s="363">
        <v>0</v>
      </c>
      <c r="CI80" s="363">
        <v>0</v>
      </c>
      <c r="CJ80" s="363">
        <v>0</v>
      </c>
      <c r="CK80" s="363">
        <v>0</v>
      </c>
      <c r="CL80" s="363">
        <v>0</v>
      </c>
      <c r="CM80" s="363"/>
      <c r="CN80" s="363"/>
      <c r="CO80" s="363"/>
      <c r="CP80" s="363"/>
      <c r="CQ80" s="363"/>
      <c r="CR80" s="363"/>
      <c r="CS80" s="363"/>
      <c r="CT80" s="363"/>
      <c r="CU80" s="363"/>
      <c r="CV80" s="363"/>
      <c r="CW80" s="363"/>
      <c r="CX80" s="363"/>
      <c r="CY80" s="363"/>
      <c r="CZ80" s="363"/>
      <c r="DA80" s="363"/>
      <c r="DB80" s="363"/>
      <c r="DC80" s="363"/>
      <c r="DD80" s="363"/>
      <c r="DE80" s="363"/>
      <c r="DF80" s="363"/>
      <c r="DG80" s="363"/>
      <c r="DH80" s="363"/>
      <c r="DI80" s="363"/>
      <c r="DJ80" s="363"/>
      <c r="DK80" s="363"/>
      <c r="DL80" s="363"/>
      <c r="DM80" s="363"/>
      <c r="DN80" s="363"/>
      <c r="DO80" s="363"/>
      <c r="DP80" s="363"/>
      <c r="DQ80" s="363"/>
      <c r="DR80" s="363"/>
      <c r="DS80" s="363"/>
      <c r="DT80" s="363"/>
      <c r="DU80" s="363"/>
      <c r="DV80" s="363"/>
      <c r="DW80" s="544">
        <f t="shared" si="15"/>
        <v>0</v>
      </c>
      <c r="DX80" s="890"/>
      <c r="DY80" s="705"/>
      <c r="DZ80" s="871"/>
      <c r="EA80" s="873"/>
      <c r="EB80" s="859"/>
      <c r="EC80" s="859"/>
      <c r="ED80" s="859"/>
      <c r="EE80" s="859"/>
      <c r="EF80" s="861"/>
      <c r="EG80" s="1106"/>
      <c r="EI80" s="858"/>
      <c r="EJ80" s="877"/>
      <c r="EO80" s="419"/>
      <c r="ER80" s="497"/>
    </row>
    <row r="81" spans="1:148" s="278" customFormat="1" ht="12.75" outlineLevel="2" thickBot="1" x14ac:dyDescent="0.25">
      <c r="A81" s="894"/>
      <c r="B81" s="887"/>
      <c r="C81" s="904"/>
      <c r="D81" s="865"/>
      <c r="E81" s="868"/>
      <c r="F81" s="315" t="s">
        <v>211</v>
      </c>
      <c r="G81" s="364">
        <v>0</v>
      </c>
      <c r="H81" s="364">
        <v>0</v>
      </c>
      <c r="I81" s="364">
        <v>0</v>
      </c>
      <c r="J81" s="364">
        <v>0</v>
      </c>
      <c r="K81" s="364">
        <v>0</v>
      </c>
      <c r="L81" s="364">
        <v>0</v>
      </c>
      <c r="M81" s="364">
        <v>0</v>
      </c>
      <c r="N81" s="364">
        <v>0</v>
      </c>
      <c r="O81" s="364">
        <v>0</v>
      </c>
      <c r="P81" s="364">
        <v>0</v>
      </c>
      <c r="Q81" s="364">
        <v>0</v>
      </c>
      <c r="R81" s="364">
        <v>0</v>
      </c>
      <c r="S81" s="364">
        <v>0</v>
      </c>
      <c r="T81" s="364">
        <v>0</v>
      </c>
      <c r="U81" s="364">
        <v>0</v>
      </c>
      <c r="V81" s="364">
        <v>0</v>
      </c>
      <c r="W81" s="364">
        <v>0</v>
      </c>
      <c r="X81" s="364">
        <v>0</v>
      </c>
      <c r="Y81" s="364">
        <v>0</v>
      </c>
      <c r="Z81" s="364">
        <v>0</v>
      </c>
      <c r="AA81" s="364">
        <v>0</v>
      </c>
      <c r="AB81" s="364">
        <v>0</v>
      </c>
      <c r="AC81" s="364">
        <v>0</v>
      </c>
      <c r="AD81" s="364">
        <v>0</v>
      </c>
      <c r="AE81" s="364">
        <v>0</v>
      </c>
      <c r="AF81" s="364">
        <v>0</v>
      </c>
      <c r="AG81" s="364">
        <v>0</v>
      </c>
      <c r="AH81" s="364">
        <v>0</v>
      </c>
      <c r="AI81" s="364">
        <v>0</v>
      </c>
      <c r="AJ81" s="364">
        <v>0</v>
      </c>
      <c r="AK81" s="364">
        <v>0</v>
      </c>
      <c r="AL81" s="364">
        <v>0</v>
      </c>
      <c r="AM81" s="364">
        <v>0</v>
      </c>
      <c r="AN81" s="364">
        <v>0</v>
      </c>
      <c r="AO81" s="364">
        <v>0</v>
      </c>
      <c r="AP81" s="364">
        <v>0</v>
      </c>
      <c r="AQ81" s="364">
        <v>0</v>
      </c>
      <c r="AR81" s="364">
        <v>0</v>
      </c>
      <c r="AS81" s="364">
        <v>0</v>
      </c>
      <c r="AT81" s="364">
        <v>0</v>
      </c>
      <c r="AU81" s="364">
        <v>0</v>
      </c>
      <c r="AV81" s="364">
        <v>0</v>
      </c>
      <c r="AW81" s="364">
        <v>0</v>
      </c>
      <c r="AX81" s="364">
        <v>0</v>
      </c>
      <c r="AY81" s="364">
        <v>0</v>
      </c>
      <c r="AZ81" s="364">
        <v>32.97184</v>
      </c>
      <c r="BA81" s="364">
        <v>0</v>
      </c>
      <c r="BB81" s="364">
        <v>65.943680000000001</v>
      </c>
      <c r="BC81" s="364">
        <v>0</v>
      </c>
      <c r="BD81" s="364">
        <v>32.97184</v>
      </c>
      <c r="BE81" s="364">
        <v>32.97184</v>
      </c>
      <c r="BF81" s="364">
        <v>65.943680000000001</v>
      </c>
      <c r="BG81" s="364">
        <v>30.521920000000001</v>
      </c>
      <c r="BH81" s="364">
        <v>30.521920000000001</v>
      </c>
      <c r="BI81" s="364">
        <v>30.521920000000001</v>
      </c>
      <c r="BJ81" s="364">
        <v>30.521920000000001</v>
      </c>
      <c r="BK81" s="364">
        <v>30.521920000000001</v>
      </c>
      <c r="BL81" s="524">
        <v>0</v>
      </c>
      <c r="BM81" s="364">
        <v>27.459520000000001</v>
      </c>
      <c r="BN81" s="364">
        <v>54.919040000000003</v>
      </c>
      <c r="BO81" s="364">
        <v>0</v>
      </c>
      <c r="BP81" s="364">
        <v>27.459520000000001</v>
      </c>
      <c r="BQ81" s="364">
        <v>0</v>
      </c>
      <c r="BR81" s="364">
        <v>0</v>
      </c>
      <c r="BS81" s="364">
        <v>0</v>
      </c>
      <c r="BT81" s="364"/>
      <c r="BU81" s="524">
        <v>54.66384</v>
      </c>
      <c r="BV81" s="364">
        <v>0</v>
      </c>
      <c r="BW81" s="364">
        <v>0</v>
      </c>
      <c r="BX81" s="364">
        <v>0</v>
      </c>
      <c r="BY81" s="364">
        <v>0</v>
      </c>
      <c r="BZ81" s="364">
        <v>0</v>
      </c>
      <c r="CA81" s="364">
        <v>0</v>
      </c>
      <c r="CB81" s="364">
        <v>0</v>
      </c>
      <c r="CC81" s="364">
        <v>0</v>
      </c>
      <c r="CD81" s="364">
        <v>0</v>
      </c>
      <c r="CE81" s="364">
        <v>0</v>
      </c>
      <c r="CF81" s="364">
        <v>0</v>
      </c>
      <c r="CG81" s="364">
        <v>0</v>
      </c>
      <c r="CH81" s="364">
        <v>0</v>
      </c>
      <c r="CI81" s="364">
        <v>0</v>
      </c>
      <c r="CJ81" s="364">
        <v>0</v>
      </c>
      <c r="CK81" s="364">
        <v>0</v>
      </c>
      <c r="CL81" s="364">
        <v>0</v>
      </c>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4"/>
      <c r="DJ81" s="364"/>
      <c r="DK81" s="364"/>
      <c r="DL81" s="364"/>
      <c r="DM81" s="364"/>
      <c r="DN81" s="364"/>
      <c r="DO81" s="364"/>
      <c r="DP81" s="364"/>
      <c r="DQ81" s="364"/>
      <c r="DR81" s="364"/>
      <c r="DS81" s="364"/>
      <c r="DT81" s="364"/>
      <c r="DU81" s="364"/>
      <c r="DV81" s="364"/>
      <c r="DW81" s="649">
        <f t="shared" ref="DW81:DW96" si="16">SUM(G81:DV81)</f>
        <v>547.91440000000011</v>
      </c>
      <c r="DX81" s="891"/>
      <c r="DY81" s="706"/>
      <c r="DZ81" s="872"/>
      <c r="EA81" s="873"/>
      <c r="EB81" s="859"/>
      <c r="EC81" s="859"/>
      <c r="ED81" s="859"/>
      <c r="EE81" s="859"/>
      <c r="EF81" s="861"/>
      <c r="EG81" s="1107"/>
      <c r="EI81" s="858"/>
      <c r="EJ81" s="877"/>
      <c r="ER81" s="497"/>
    </row>
    <row r="82" spans="1:148" s="278" customFormat="1" ht="24" outlineLevel="2" x14ac:dyDescent="0.2">
      <c r="A82" s="892" t="s">
        <v>392</v>
      </c>
      <c r="B82" s="897" t="s">
        <v>502</v>
      </c>
      <c r="C82" s="902">
        <v>5</v>
      </c>
      <c r="D82" s="863">
        <f>+IFERROR(VLOOKUP(B82,'Detalle Plan de Adquisiciones'!$G$53:$L$153,6,FALSE),0)</f>
        <v>899528032</v>
      </c>
      <c r="E82" s="866" t="str">
        <f>+'Detalle Plan de Adquisiciones'!F103</f>
        <v>CONSULTORÍA PARA EL DISEÑO A DETALLE DE LOS CORREDORES VIALES CALLE 24 ENTRE CARRERA 25 Y CARRERA 22 (ID  76), CARRERA 22 ENTRE CALLE 23 Y CALLE 24 (ID 77), CALLE 23 ENTRE CARRERA 20 Y CARRERA 22 (ID 78) ,CARRERA 16 ENTRE CALLE 24 Y CALLE 27 (ID 81), CALLE 27 ENTRE AVENIDA CIRCUNVALAR Y CARRERA 15A (ID 83), CALLE 12C ENTRE CARRERA 9 Y AVENIDA CIRCUNVALAR (ID 96), CALLE 43 ENTRE CARRERA 5 Y CARRERA 4 (ID 123),  CARRERA 5 ENTRE CALLE 41 Y CALLE 43 (ID 124), CARRERA 2 ENTRE CALLE 41 Y CALLE 29 (ID 204), CARRERA 2 ENTRE CALLE 29 Y CALLE 26 (ID 205), CARRERA 2 ENTRE CALLE 26 Y AVENIDA CIRCUNVALAR (ID 206) Y COMPLEMENTARIOS PERTENECIENTES AL SETP DEL MUNICIPIO DE MONTERÍA</v>
      </c>
      <c r="F82" s="312" t="s">
        <v>410</v>
      </c>
      <c r="G82" s="354">
        <v>0</v>
      </c>
      <c r="H82" s="354">
        <v>0</v>
      </c>
      <c r="I82" s="354">
        <v>0</v>
      </c>
      <c r="J82" s="354">
        <v>0</v>
      </c>
      <c r="K82" s="354">
        <v>0</v>
      </c>
      <c r="L82" s="354">
        <v>0</v>
      </c>
      <c r="M82" s="354">
        <v>0</v>
      </c>
      <c r="N82" s="354">
        <v>0</v>
      </c>
      <c r="O82" s="354">
        <v>0</v>
      </c>
      <c r="P82" s="354">
        <v>0</v>
      </c>
      <c r="Q82" s="354">
        <v>0</v>
      </c>
      <c r="R82" s="354">
        <v>0</v>
      </c>
      <c r="S82" s="354">
        <v>0</v>
      </c>
      <c r="T82" s="354">
        <v>0</v>
      </c>
      <c r="U82" s="354">
        <v>0</v>
      </c>
      <c r="V82" s="354">
        <v>0</v>
      </c>
      <c r="W82" s="354">
        <v>0</v>
      </c>
      <c r="X82" s="354">
        <v>0</v>
      </c>
      <c r="Y82" s="354">
        <v>0</v>
      </c>
      <c r="Z82" s="354">
        <v>0</v>
      </c>
      <c r="AA82" s="354">
        <v>0</v>
      </c>
      <c r="AB82" s="354">
        <v>0</v>
      </c>
      <c r="AC82" s="354">
        <v>0</v>
      </c>
      <c r="AD82" s="354">
        <v>0</v>
      </c>
      <c r="AE82" s="354">
        <v>0</v>
      </c>
      <c r="AF82" s="354">
        <v>0</v>
      </c>
      <c r="AG82" s="354">
        <v>0</v>
      </c>
      <c r="AH82" s="354">
        <v>0</v>
      </c>
      <c r="AI82" s="354">
        <v>0</v>
      </c>
      <c r="AJ82" s="354">
        <v>0</v>
      </c>
      <c r="AK82" s="354">
        <v>0</v>
      </c>
      <c r="AL82" s="354">
        <v>0</v>
      </c>
      <c r="AM82" s="354">
        <v>0</v>
      </c>
      <c r="AN82" s="354">
        <v>0</v>
      </c>
      <c r="AO82" s="354">
        <v>0</v>
      </c>
      <c r="AP82" s="354">
        <v>0</v>
      </c>
      <c r="AQ82" s="354">
        <v>0</v>
      </c>
      <c r="AR82" s="354">
        <v>0</v>
      </c>
      <c r="AS82" s="354">
        <v>0</v>
      </c>
      <c r="AT82" s="354">
        <v>0</v>
      </c>
      <c r="AU82" s="354">
        <v>0</v>
      </c>
      <c r="AV82" s="354">
        <v>0</v>
      </c>
      <c r="AW82" s="354">
        <v>0</v>
      </c>
      <c r="AX82" s="354"/>
      <c r="AY82" s="354"/>
      <c r="AZ82" s="354"/>
      <c r="BA82" s="354">
        <v>0</v>
      </c>
      <c r="BB82" s="354">
        <v>0</v>
      </c>
      <c r="BC82" s="354">
        <v>0</v>
      </c>
      <c r="BD82" s="354">
        <v>0</v>
      </c>
      <c r="BE82" s="354">
        <v>0</v>
      </c>
      <c r="BF82" s="354">
        <v>0</v>
      </c>
      <c r="BG82" s="354">
        <v>0</v>
      </c>
      <c r="BH82" s="354">
        <v>0</v>
      </c>
      <c r="BI82" s="354">
        <v>0</v>
      </c>
      <c r="BJ82" s="354"/>
      <c r="BK82" s="354">
        <v>0</v>
      </c>
      <c r="BL82" s="354">
        <v>0</v>
      </c>
      <c r="BM82" s="354">
        <v>0</v>
      </c>
      <c r="BN82" s="354">
        <v>809.52803200000005</v>
      </c>
      <c r="BO82" s="354">
        <v>0</v>
      </c>
      <c r="BP82" s="354">
        <v>0</v>
      </c>
      <c r="BQ82" s="354">
        <v>0</v>
      </c>
      <c r="BR82" s="354">
        <v>0</v>
      </c>
      <c r="BS82" s="354">
        <v>0</v>
      </c>
      <c r="BT82" s="354"/>
      <c r="BU82" s="354">
        <v>0</v>
      </c>
      <c r="BV82" s="354">
        <v>0</v>
      </c>
      <c r="BW82" s="354">
        <v>0</v>
      </c>
      <c r="BX82" s="354">
        <v>0</v>
      </c>
      <c r="BY82" s="354">
        <v>0</v>
      </c>
      <c r="BZ82" s="354">
        <v>0</v>
      </c>
      <c r="CA82" s="354">
        <v>0</v>
      </c>
      <c r="CB82" s="354">
        <v>0</v>
      </c>
      <c r="CC82" s="354">
        <v>0</v>
      </c>
      <c r="CD82" s="354">
        <v>0</v>
      </c>
      <c r="CE82" s="354">
        <v>0</v>
      </c>
      <c r="CF82" s="354">
        <v>0</v>
      </c>
      <c r="CG82" s="354">
        <v>0</v>
      </c>
      <c r="CH82" s="354">
        <v>0</v>
      </c>
      <c r="CI82" s="354">
        <v>0</v>
      </c>
      <c r="CJ82" s="354">
        <v>0</v>
      </c>
      <c r="CK82" s="354">
        <v>0</v>
      </c>
      <c r="CL82" s="354">
        <v>0</v>
      </c>
      <c r="CM82" s="354"/>
      <c r="CN82" s="354"/>
      <c r="CO82" s="354"/>
      <c r="CP82" s="354"/>
      <c r="CQ82" s="354"/>
      <c r="CR82" s="354"/>
      <c r="CS82" s="354"/>
      <c r="CT82" s="354"/>
      <c r="CU82" s="354"/>
      <c r="CV82" s="354"/>
      <c r="CW82" s="354"/>
      <c r="CX82" s="354"/>
      <c r="CY82" s="354"/>
      <c r="CZ82" s="354"/>
      <c r="DA82" s="354"/>
      <c r="DB82" s="354"/>
      <c r="DC82" s="354"/>
      <c r="DD82" s="354"/>
      <c r="DE82" s="354"/>
      <c r="DF82" s="354"/>
      <c r="DG82" s="354"/>
      <c r="DH82" s="354"/>
      <c r="DI82" s="354"/>
      <c r="DJ82" s="354"/>
      <c r="DK82" s="354"/>
      <c r="DL82" s="354"/>
      <c r="DM82" s="354"/>
      <c r="DN82" s="354"/>
      <c r="DO82" s="354"/>
      <c r="DP82" s="354"/>
      <c r="DQ82" s="354"/>
      <c r="DR82" s="354"/>
      <c r="DS82" s="354"/>
      <c r="DT82" s="354"/>
      <c r="DU82" s="354"/>
      <c r="DV82" s="354"/>
      <c r="DW82" s="543">
        <f t="shared" si="16"/>
        <v>809.52803200000005</v>
      </c>
      <c r="DX82" s="858">
        <f>DW82+DW83+DW84</f>
        <v>899.52803200000005</v>
      </c>
      <c r="DY82" s="704">
        <f>+DX82*1000000</f>
        <v>899528032</v>
      </c>
      <c r="DZ82" s="870">
        <f>+DY82-D82</f>
        <v>0</v>
      </c>
      <c r="EA82" s="874">
        <f>VLOOKUP(POA!$B82,INTERPLAN,28,0)</f>
        <v>41611</v>
      </c>
      <c r="EB82" s="860">
        <f>+EDATE(EA82,C82)</f>
        <v>41762</v>
      </c>
      <c r="EC82" s="860">
        <f>EB82+30</f>
        <v>41792</v>
      </c>
      <c r="ED82" s="860" t="str">
        <f>CONCATENATE(MONTH(EA82),"-",YEAR(EA82))</f>
        <v>12-2013</v>
      </c>
      <c r="EE82" s="860" t="str">
        <f>CONCATENATE(MONTH(EB82),"-",YEAR(EB82))</f>
        <v>5-2014</v>
      </c>
      <c r="EF82" s="862" t="str">
        <f>CONCATENATE(MONTH(EC82),"-",YEAR(EC82))</f>
        <v>6-2014</v>
      </c>
      <c r="EG82" s="1105">
        <f>+YEAR(EA82)</f>
        <v>2013</v>
      </c>
      <c r="EH82" s="393">
        <f>+DY82</f>
        <v>899528032</v>
      </c>
      <c r="EI82" s="858">
        <f>+DW82+DW83+DW84</f>
        <v>899.52803200000005</v>
      </c>
      <c r="EJ82" s="877">
        <f>+D82/1000000-EI82</f>
        <v>0</v>
      </c>
      <c r="ER82" s="497"/>
    </row>
    <row r="83" spans="1:148" s="278" customFormat="1" outlineLevel="2" x14ac:dyDescent="0.2">
      <c r="A83" s="893"/>
      <c r="B83" s="886"/>
      <c r="C83" s="903"/>
      <c r="D83" s="864"/>
      <c r="E83" s="867"/>
      <c r="F83" s="311" t="s">
        <v>210</v>
      </c>
      <c r="G83" s="363">
        <v>0</v>
      </c>
      <c r="H83" s="363">
        <v>0</v>
      </c>
      <c r="I83" s="363">
        <v>0</v>
      </c>
      <c r="J83" s="363">
        <v>0</v>
      </c>
      <c r="K83" s="363">
        <v>0</v>
      </c>
      <c r="L83" s="363">
        <v>0</v>
      </c>
      <c r="M83" s="363">
        <v>0</v>
      </c>
      <c r="N83" s="363">
        <v>0</v>
      </c>
      <c r="O83" s="363">
        <v>0</v>
      </c>
      <c r="P83" s="363">
        <v>0</v>
      </c>
      <c r="Q83" s="363">
        <v>0</v>
      </c>
      <c r="R83" s="363">
        <v>0</v>
      </c>
      <c r="S83" s="363">
        <v>0</v>
      </c>
      <c r="T83" s="363">
        <v>0</v>
      </c>
      <c r="U83" s="363">
        <v>0</v>
      </c>
      <c r="V83" s="363">
        <v>0</v>
      </c>
      <c r="W83" s="363">
        <v>0</v>
      </c>
      <c r="X83" s="363">
        <v>0</v>
      </c>
      <c r="Y83" s="363">
        <v>0</v>
      </c>
      <c r="Z83" s="363">
        <v>0</v>
      </c>
      <c r="AA83" s="363">
        <v>0</v>
      </c>
      <c r="AB83" s="363">
        <v>0</v>
      </c>
      <c r="AC83" s="363">
        <v>0</v>
      </c>
      <c r="AD83" s="363">
        <v>0</v>
      </c>
      <c r="AE83" s="363">
        <v>0</v>
      </c>
      <c r="AF83" s="363">
        <v>0</v>
      </c>
      <c r="AG83" s="363">
        <v>0</v>
      </c>
      <c r="AH83" s="363">
        <v>0</v>
      </c>
      <c r="AI83" s="363">
        <v>0</v>
      </c>
      <c r="AJ83" s="363">
        <v>0</v>
      </c>
      <c r="AK83" s="363">
        <v>0</v>
      </c>
      <c r="AL83" s="363">
        <v>0</v>
      </c>
      <c r="AM83" s="363">
        <v>0</v>
      </c>
      <c r="AN83" s="363">
        <v>0</v>
      </c>
      <c r="AO83" s="363">
        <v>0</v>
      </c>
      <c r="AP83" s="363">
        <v>0</v>
      </c>
      <c r="AQ83" s="363">
        <v>0</v>
      </c>
      <c r="AR83" s="363">
        <v>0</v>
      </c>
      <c r="AS83" s="363">
        <v>0</v>
      </c>
      <c r="AT83" s="363">
        <v>0</v>
      </c>
      <c r="AU83" s="363">
        <v>0</v>
      </c>
      <c r="AV83" s="363">
        <v>0</v>
      </c>
      <c r="AW83" s="363">
        <v>0</v>
      </c>
      <c r="AX83" s="363"/>
      <c r="AY83" s="363"/>
      <c r="AZ83" s="363"/>
      <c r="BA83" s="363">
        <v>0</v>
      </c>
      <c r="BB83" s="363">
        <v>0</v>
      </c>
      <c r="BC83" s="363">
        <v>0</v>
      </c>
      <c r="BD83" s="363">
        <v>0</v>
      </c>
      <c r="BE83" s="363">
        <v>0</v>
      </c>
      <c r="BF83" s="363">
        <v>0</v>
      </c>
      <c r="BG83" s="363">
        <v>0</v>
      </c>
      <c r="BH83" s="363">
        <v>0</v>
      </c>
      <c r="BI83" s="363">
        <v>0</v>
      </c>
      <c r="BJ83" s="363"/>
      <c r="BK83" s="363">
        <v>0</v>
      </c>
      <c r="BL83" s="363">
        <v>0</v>
      </c>
      <c r="BM83" s="363">
        <v>0</v>
      </c>
      <c r="BN83" s="363">
        <v>90</v>
      </c>
      <c r="BO83" s="363">
        <v>0</v>
      </c>
      <c r="BP83" s="363">
        <v>0</v>
      </c>
      <c r="BQ83" s="363">
        <v>0</v>
      </c>
      <c r="BR83" s="363">
        <v>0</v>
      </c>
      <c r="BS83" s="363">
        <v>0</v>
      </c>
      <c r="BT83" s="363"/>
      <c r="BU83" s="363">
        <v>0</v>
      </c>
      <c r="BV83" s="363">
        <v>0</v>
      </c>
      <c r="BW83" s="363">
        <v>0</v>
      </c>
      <c r="BX83" s="363">
        <v>0</v>
      </c>
      <c r="BY83" s="363">
        <v>0</v>
      </c>
      <c r="BZ83" s="363">
        <v>0</v>
      </c>
      <c r="CA83" s="363">
        <v>0</v>
      </c>
      <c r="CB83" s="363">
        <v>0</v>
      </c>
      <c r="CC83" s="363">
        <v>0</v>
      </c>
      <c r="CD83" s="363">
        <v>0</v>
      </c>
      <c r="CE83" s="363">
        <v>0</v>
      </c>
      <c r="CF83" s="363">
        <v>0</v>
      </c>
      <c r="CG83" s="363">
        <v>0</v>
      </c>
      <c r="CH83" s="363">
        <v>0</v>
      </c>
      <c r="CI83" s="363">
        <v>0</v>
      </c>
      <c r="CJ83" s="363">
        <v>0</v>
      </c>
      <c r="CK83" s="363">
        <v>0</v>
      </c>
      <c r="CL83" s="363">
        <v>0</v>
      </c>
      <c r="CM83" s="363"/>
      <c r="CN83" s="363"/>
      <c r="CO83" s="363"/>
      <c r="CP83" s="363"/>
      <c r="CQ83" s="363"/>
      <c r="CR83" s="363"/>
      <c r="CS83" s="363"/>
      <c r="CT83" s="363"/>
      <c r="CU83" s="363"/>
      <c r="CV83" s="363"/>
      <c r="CW83" s="363"/>
      <c r="CX83" s="363"/>
      <c r="CY83" s="363"/>
      <c r="CZ83" s="363"/>
      <c r="DA83" s="363"/>
      <c r="DB83" s="363"/>
      <c r="DC83" s="363"/>
      <c r="DD83" s="363"/>
      <c r="DE83" s="363"/>
      <c r="DF83" s="363"/>
      <c r="DG83" s="363"/>
      <c r="DH83" s="363"/>
      <c r="DI83" s="363"/>
      <c r="DJ83" s="363"/>
      <c r="DK83" s="363"/>
      <c r="DL83" s="363"/>
      <c r="DM83" s="363"/>
      <c r="DN83" s="363"/>
      <c r="DO83" s="363"/>
      <c r="DP83" s="363"/>
      <c r="DQ83" s="363"/>
      <c r="DR83" s="363"/>
      <c r="DS83" s="363"/>
      <c r="DT83" s="363"/>
      <c r="DU83" s="363"/>
      <c r="DV83" s="363"/>
      <c r="DW83" s="544">
        <f t="shared" si="16"/>
        <v>90</v>
      </c>
      <c r="DX83" s="858"/>
      <c r="DY83" s="705"/>
      <c r="DZ83" s="871"/>
      <c r="EA83" s="895"/>
      <c r="EB83" s="878"/>
      <c r="EC83" s="878"/>
      <c r="ED83" s="878"/>
      <c r="EE83" s="878"/>
      <c r="EF83" s="880"/>
      <c r="EG83" s="1106"/>
      <c r="EI83" s="858"/>
      <c r="EJ83" s="877"/>
      <c r="ER83" s="497"/>
    </row>
    <row r="84" spans="1:148" s="278" customFormat="1" ht="27" customHeight="1" outlineLevel="2" thickBot="1" x14ac:dyDescent="0.25">
      <c r="A84" s="894"/>
      <c r="B84" s="887"/>
      <c r="C84" s="904"/>
      <c r="D84" s="865"/>
      <c r="E84" s="868"/>
      <c r="F84" s="315" t="s">
        <v>211</v>
      </c>
      <c r="G84" s="364">
        <v>0</v>
      </c>
      <c r="H84" s="364">
        <v>0</v>
      </c>
      <c r="I84" s="364">
        <v>0</v>
      </c>
      <c r="J84" s="364">
        <v>0</v>
      </c>
      <c r="K84" s="364">
        <v>0</v>
      </c>
      <c r="L84" s="364">
        <v>0</v>
      </c>
      <c r="M84" s="364">
        <v>0</v>
      </c>
      <c r="N84" s="364">
        <v>0</v>
      </c>
      <c r="O84" s="364">
        <v>0</v>
      </c>
      <c r="P84" s="364">
        <v>0</v>
      </c>
      <c r="Q84" s="364">
        <v>0</v>
      </c>
      <c r="R84" s="364">
        <v>0</v>
      </c>
      <c r="S84" s="364">
        <v>0</v>
      </c>
      <c r="T84" s="364">
        <v>0</v>
      </c>
      <c r="U84" s="364">
        <v>0</v>
      </c>
      <c r="V84" s="364">
        <v>0</v>
      </c>
      <c r="W84" s="364">
        <v>0</v>
      </c>
      <c r="X84" s="364">
        <v>0</v>
      </c>
      <c r="Y84" s="364">
        <v>0</v>
      </c>
      <c r="Z84" s="364">
        <v>0</v>
      </c>
      <c r="AA84" s="364">
        <v>0</v>
      </c>
      <c r="AB84" s="364">
        <v>0</v>
      </c>
      <c r="AC84" s="364">
        <v>0</v>
      </c>
      <c r="AD84" s="364">
        <v>0</v>
      </c>
      <c r="AE84" s="364">
        <v>0</v>
      </c>
      <c r="AF84" s="364">
        <v>0</v>
      </c>
      <c r="AG84" s="364">
        <v>0</v>
      </c>
      <c r="AH84" s="364">
        <v>0</v>
      </c>
      <c r="AI84" s="364">
        <v>0</v>
      </c>
      <c r="AJ84" s="364">
        <v>0</v>
      </c>
      <c r="AK84" s="364">
        <v>0</v>
      </c>
      <c r="AL84" s="364">
        <v>0</v>
      </c>
      <c r="AM84" s="364">
        <v>0</v>
      </c>
      <c r="AN84" s="364">
        <v>0</v>
      </c>
      <c r="AO84" s="364">
        <v>0</v>
      </c>
      <c r="AP84" s="364">
        <v>0</v>
      </c>
      <c r="AQ84" s="364">
        <v>0</v>
      </c>
      <c r="AR84" s="364">
        <v>0</v>
      </c>
      <c r="AS84" s="364">
        <v>0</v>
      </c>
      <c r="AT84" s="364">
        <v>0</v>
      </c>
      <c r="AU84" s="364">
        <v>0</v>
      </c>
      <c r="AV84" s="364">
        <v>0</v>
      </c>
      <c r="AW84" s="364">
        <v>0</v>
      </c>
      <c r="AX84" s="364"/>
      <c r="AY84" s="364"/>
      <c r="AZ84" s="364"/>
      <c r="BA84" s="364">
        <v>0</v>
      </c>
      <c r="BB84" s="364">
        <v>0</v>
      </c>
      <c r="BC84" s="364">
        <v>0</v>
      </c>
      <c r="BD84" s="364">
        <v>0</v>
      </c>
      <c r="BE84" s="364">
        <v>0</v>
      </c>
      <c r="BF84" s="364">
        <v>0</v>
      </c>
      <c r="BG84" s="364">
        <v>0</v>
      </c>
      <c r="BH84" s="364">
        <v>0</v>
      </c>
      <c r="BI84" s="364">
        <v>0</v>
      </c>
      <c r="BJ84" s="364">
        <v>0</v>
      </c>
      <c r="BK84" s="364">
        <v>0</v>
      </c>
      <c r="BL84" s="364">
        <v>0</v>
      </c>
      <c r="BM84" s="364">
        <v>0</v>
      </c>
      <c r="BN84" s="364">
        <v>0</v>
      </c>
      <c r="BO84" s="364">
        <v>0</v>
      </c>
      <c r="BP84" s="364">
        <v>0</v>
      </c>
      <c r="BQ84" s="364">
        <v>0</v>
      </c>
      <c r="BR84" s="364">
        <v>0</v>
      </c>
      <c r="BS84" s="364">
        <v>0</v>
      </c>
      <c r="BT84" s="364"/>
      <c r="BU84" s="364">
        <v>0</v>
      </c>
      <c r="BV84" s="364">
        <v>0</v>
      </c>
      <c r="BW84" s="364">
        <v>0</v>
      </c>
      <c r="BX84" s="364">
        <v>0</v>
      </c>
      <c r="BY84" s="364">
        <v>0</v>
      </c>
      <c r="BZ84" s="364">
        <v>0</v>
      </c>
      <c r="CA84" s="364">
        <v>0</v>
      </c>
      <c r="CB84" s="364">
        <v>0</v>
      </c>
      <c r="CC84" s="364">
        <v>0</v>
      </c>
      <c r="CD84" s="364">
        <v>0</v>
      </c>
      <c r="CE84" s="364">
        <v>0</v>
      </c>
      <c r="CF84" s="364">
        <v>0</v>
      </c>
      <c r="CG84" s="364">
        <v>0</v>
      </c>
      <c r="CH84" s="364">
        <v>0</v>
      </c>
      <c r="CI84" s="364">
        <v>0</v>
      </c>
      <c r="CJ84" s="364">
        <v>0</v>
      </c>
      <c r="CK84" s="364">
        <v>0</v>
      </c>
      <c r="CL84" s="364">
        <v>0</v>
      </c>
      <c r="CM84" s="364"/>
      <c r="CN84" s="364"/>
      <c r="CO84" s="364"/>
      <c r="CP84" s="364"/>
      <c r="CQ84" s="364"/>
      <c r="CR84" s="364"/>
      <c r="CS84" s="364"/>
      <c r="CT84" s="364"/>
      <c r="CU84" s="364"/>
      <c r="CV84" s="364"/>
      <c r="CW84" s="364"/>
      <c r="CX84" s="364"/>
      <c r="CY84" s="364"/>
      <c r="CZ84" s="364"/>
      <c r="DA84" s="364"/>
      <c r="DB84" s="364"/>
      <c r="DC84" s="364"/>
      <c r="DD84" s="364"/>
      <c r="DE84" s="364"/>
      <c r="DF84" s="364"/>
      <c r="DG84" s="364"/>
      <c r="DH84" s="364"/>
      <c r="DI84" s="364"/>
      <c r="DJ84" s="364"/>
      <c r="DK84" s="364"/>
      <c r="DL84" s="364"/>
      <c r="DM84" s="364"/>
      <c r="DN84" s="364"/>
      <c r="DO84" s="364"/>
      <c r="DP84" s="364"/>
      <c r="DQ84" s="364"/>
      <c r="DR84" s="364"/>
      <c r="DS84" s="364"/>
      <c r="DT84" s="364"/>
      <c r="DU84" s="364"/>
      <c r="DV84" s="364"/>
      <c r="DW84" s="649">
        <f t="shared" si="16"/>
        <v>0</v>
      </c>
      <c r="DX84" s="858"/>
      <c r="DY84" s="706"/>
      <c r="DZ84" s="872"/>
      <c r="EA84" s="896"/>
      <c r="EB84" s="879"/>
      <c r="EC84" s="879"/>
      <c r="ED84" s="879"/>
      <c r="EE84" s="879"/>
      <c r="EF84" s="881"/>
      <c r="EG84" s="1107"/>
      <c r="EI84" s="858"/>
      <c r="EJ84" s="877"/>
      <c r="ER84" s="497"/>
    </row>
    <row r="85" spans="1:148" s="278" customFormat="1" ht="24" outlineLevel="2" x14ac:dyDescent="0.2">
      <c r="A85" s="892" t="s">
        <v>404</v>
      </c>
      <c r="B85" s="897" t="s">
        <v>402</v>
      </c>
      <c r="C85" s="902">
        <v>12</v>
      </c>
      <c r="D85" s="863">
        <f>+IFERROR(VLOOKUP(B85,'Detalle Plan de Adquisiciones'!$G$6:$M$66,7,FALSE),0)</f>
        <v>5269336875</v>
      </c>
      <c r="E85" s="866" t="str">
        <f>+'Detalle Plan de Adquisiciones'!F19</f>
        <v>REHABILITACIÓN DEL PAVIMENTO RÍGIDO, ANDENES Y ESPACIO PÚBLICO DE LA CALLE 25 ENTRE CARRERA 1 Y CARRERA 12, CONTINUANDO POR LA CARRERA 12 ENTRE CALLE 25 Y CALLE 26 Y SIGUIENDO HASTA  LA CALLE 26 ENTRE LA CARRERA 12 Y AV. CIRCUNVALAR , ID (132, 133, 134 Y 218) Y LA CONSTRUCCIÓN DE ONCE (11) PARADEROS CON ESPACIO PUBLICO EN VARIOS CORREDORES PERTENECIENTES AL SISTEMA ESTRATEGICO DE TRANSPORTE PUBLICO "SETP" DE LA CIUDAD DE MONTERIA.</v>
      </c>
      <c r="F85" s="312" t="s">
        <v>410</v>
      </c>
      <c r="G85" s="354">
        <v>0</v>
      </c>
      <c r="H85" s="354">
        <v>0</v>
      </c>
      <c r="I85" s="354">
        <v>0</v>
      </c>
      <c r="J85" s="354">
        <v>0</v>
      </c>
      <c r="K85" s="354">
        <v>0</v>
      </c>
      <c r="L85" s="354">
        <v>0</v>
      </c>
      <c r="M85" s="354">
        <v>0</v>
      </c>
      <c r="N85" s="354">
        <v>0</v>
      </c>
      <c r="O85" s="354">
        <v>0</v>
      </c>
      <c r="P85" s="354">
        <v>0</v>
      </c>
      <c r="Q85" s="354">
        <v>0</v>
      </c>
      <c r="R85" s="354">
        <v>0</v>
      </c>
      <c r="S85" s="354">
        <v>0</v>
      </c>
      <c r="T85" s="354">
        <v>0</v>
      </c>
      <c r="U85" s="354">
        <v>0</v>
      </c>
      <c r="V85" s="354">
        <v>0</v>
      </c>
      <c r="W85" s="354">
        <v>0</v>
      </c>
      <c r="X85" s="354">
        <v>0</v>
      </c>
      <c r="Y85" s="354">
        <v>0</v>
      </c>
      <c r="Z85" s="354">
        <v>0</v>
      </c>
      <c r="AA85" s="354">
        <v>0</v>
      </c>
      <c r="AB85" s="354">
        <v>0</v>
      </c>
      <c r="AC85" s="354">
        <v>0</v>
      </c>
      <c r="AD85" s="354">
        <v>0</v>
      </c>
      <c r="AE85" s="354">
        <v>0</v>
      </c>
      <c r="AF85" s="354">
        <v>0</v>
      </c>
      <c r="AG85" s="354">
        <v>0</v>
      </c>
      <c r="AH85" s="354">
        <v>0</v>
      </c>
      <c r="AI85" s="354">
        <v>0</v>
      </c>
      <c r="AJ85" s="354">
        <v>0</v>
      </c>
      <c r="AK85" s="354">
        <v>0</v>
      </c>
      <c r="AL85" s="354">
        <v>0</v>
      </c>
      <c r="AM85" s="354">
        <v>0</v>
      </c>
      <c r="AN85" s="354">
        <v>0</v>
      </c>
      <c r="AO85" s="354">
        <v>0</v>
      </c>
      <c r="AP85" s="354">
        <v>0</v>
      </c>
      <c r="AQ85" s="354">
        <v>0</v>
      </c>
      <c r="AR85" s="354">
        <v>0</v>
      </c>
      <c r="AS85" s="354">
        <v>0</v>
      </c>
      <c r="AT85" s="354">
        <v>0</v>
      </c>
      <c r="AU85" s="354">
        <v>0</v>
      </c>
      <c r="AV85" s="354">
        <v>0</v>
      </c>
      <c r="AW85" s="354">
        <v>0</v>
      </c>
      <c r="AX85" s="354"/>
      <c r="AY85" s="354"/>
      <c r="AZ85" s="354">
        <v>0</v>
      </c>
      <c r="BA85" s="354">
        <v>0</v>
      </c>
      <c r="BB85" s="354">
        <v>0</v>
      </c>
      <c r="BC85" s="354">
        <v>0</v>
      </c>
      <c r="BD85" s="557">
        <v>0</v>
      </c>
      <c r="BE85" s="557">
        <v>0</v>
      </c>
      <c r="BF85" s="557">
        <v>0</v>
      </c>
      <c r="BG85" s="557">
        <v>0</v>
      </c>
      <c r="BH85" s="557"/>
      <c r="BI85" s="354">
        <v>443.65975200000003</v>
      </c>
      <c r="BJ85" s="354">
        <v>455.43211700000001</v>
      </c>
      <c r="BK85" s="557">
        <v>0</v>
      </c>
      <c r="BL85" s="558"/>
      <c r="BM85" s="354">
        <v>398.72756399999997</v>
      </c>
      <c r="BN85" s="354">
        <v>831.15059199999996</v>
      </c>
      <c r="BO85" s="354">
        <v>277.78683000000001</v>
      </c>
      <c r="BP85" s="557">
        <v>0</v>
      </c>
      <c r="BQ85" s="557">
        <v>0</v>
      </c>
      <c r="BR85" s="557">
        <v>0</v>
      </c>
      <c r="BS85" s="557">
        <v>0</v>
      </c>
      <c r="BT85" s="557"/>
      <c r="BU85" s="557"/>
      <c r="BV85" s="557"/>
      <c r="BW85" s="557"/>
      <c r="BX85" s="400">
        <v>534.81789199999992</v>
      </c>
      <c r="BY85" s="557">
        <v>0</v>
      </c>
      <c r="BZ85" s="557">
        <v>0</v>
      </c>
      <c r="CA85" s="557">
        <v>0</v>
      </c>
      <c r="CB85" s="557">
        <v>0</v>
      </c>
      <c r="CC85" s="557">
        <v>0</v>
      </c>
      <c r="CD85" s="557">
        <v>0</v>
      </c>
      <c r="CE85" s="557">
        <v>0</v>
      </c>
      <c r="CF85" s="557">
        <v>0</v>
      </c>
      <c r="CG85" s="557">
        <v>0</v>
      </c>
      <c r="CH85" s="557">
        <v>0</v>
      </c>
      <c r="CI85" s="557">
        <v>0</v>
      </c>
      <c r="CJ85" s="557">
        <v>0</v>
      </c>
      <c r="CK85" s="557">
        <v>0</v>
      </c>
      <c r="CL85" s="557">
        <v>0</v>
      </c>
      <c r="CM85" s="557"/>
      <c r="CN85" s="557"/>
      <c r="CO85" s="557"/>
      <c r="CP85" s="557"/>
      <c r="CQ85" s="557"/>
      <c r="CR85" s="557"/>
      <c r="CS85" s="557"/>
      <c r="CT85" s="557"/>
      <c r="CU85" s="557"/>
      <c r="CV85" s="557"/>
      <c r="CW85" s="557"/>
      <c r="CX85" s="557"/>
      <c r="CY85" s="557"/>
      <c r="CZ85" s="557"/>
      <c r="DA85" s="557"/>
      <c r="DB85" s="557"/>
      <c r="DC85" s="557"/>
      <c r="DD85" s="557"/>
      <c r="DE85" s="557"/>
      <c r="DF85" s="557"/>
      <c r="DG85" s="557"/>
      <c r="DH85" s="557"/>
      <c r="DI85" s="557"/>
      <c r="DJ85" s="557"/>
      <c r="DK85" s="557"/>
      <c r="DL85" s="557"/>
      <c r="DM85" s="557"/>
      <c r="DN85" s="557"/>
      <c r="DO85" s="557"/>
      <c r="DP85" s="557"/>
      <c r="DQ85" s="557"/>
      <c r="DR85" s="557"/>
      <c r="DS85" s="557"/>
      <c r="DT85" s="557"/>
      <c r="DU85" s="557"/>
      <c r="DV85" s="557"/>
      <c r="DW85" s="675">
        <f t="shared" si="16"/>
        <v>2941.5747470000001</v>
      </c>
      <c r="DX85" s="869">
        <f>DW85+DW86+DW87</f>
        <v>5269.336875</v>
      </c>
      <c r="DY85" s="704">
        <f>+DX85*1000000</f>
        <v>5269336875</v>
      </c>
      <c r="DZ85" s="870">
        <f>+DY85-D85</f>
        <v>0</v>
      </c>
      <c r="EA85" s="873">
        <f>VLOOKUP(POA!$B85,'Detalle Plan de Adquisiciones'!$G$6:$AF$66,23,0)</f>
        <v>41501</v>
      </c>
      <c r="EB85" s="859">
        <f>VLOOKUP(POA!$B85,'Detalle Plan de Adquisiciones'!$G$6:$AF$66,25,0)</f>
        <v>41866</v>
      </c>
      <c r="EC85" s="859">
        <f>EB85+30</f>
        <v>41896</v>
      </c>
      <c r="ED85" s="859" t="str">
        <f>CONCATENATE(MONTH(EA85),"-",YEAR(EA85))</f>
        <v>8-2013</v>
      </c>
      <c r="EE85" s="859" t="str">
        <f>CONCATENATE(MONTH(EB85),"-",YEAR(EB85))</f>
        <v>8-2014</v>
      </c>
      <c r="EF85" s="861" t="str">
        <f>CONCATENATE(MONTH(EC85),"-",YEAR(EC85))</f>
        <v>9-2014</v>
      </c>
      <c r="EG85" s="1105">
        <f>+YEAR(EA85)</f>
        <v>2013</v>
      </c>
      <c r="EH85" s="393">
        <f>+DY85</f>
        <v>5269336875</v>
      </c>
      <c r="EI85" s="858">
        <f>+DW85+DW86+DW87</f>
        <v>5269.336875</v>
      </c>
      <c r="EJ85" s="877">
        <f>+D85/1000000-EI85</f>
        <v>0</v>
      </c>
      <c r="EO85" s="393"/>
      <c r="ER85" s="497"/>
    </row>
    <row r="86" spans="1:148" s="278" customFormat="1" ht="12.75" outlineLevel="2" x14ac:dyDescent="0.2">
      <c r="A86" s="893"/>
      <c r="B86" s="886"/>
      <c r="C86" s="903"/>
      <c r="D86" s="864"/>
      <c r="E86" s="867"/>
      <c r="F86" s="311" t="s">
        <v>210</v>
      </c>
      <c r="G86" s="363">
        <v>0</v>
      </c>
      <c r="H86" s="363">
        <v>0</v>
      </c>
      <c r="I86" s="363">
        <v>0</v>
      </c>
      <c r="J86" s="363">
        <v>0</v>
      </c>
      <c r="K86" s="363">
        <v>0</v>
      </c>
      <c r="L86" s="363">
        <v>0</v>
      </c>
      <c r="M86" s="363">
        <v>0</v>
      </c>
      <c r="N86" s="363">
        <v>0</v>
      </c>
      <c r="O86" s="363">
        <v>0</v>
      </c>
      <c r="P86" s="363">
        <v>0</v>
      </c>
      <c r="Q86" s="363">
        <v>0</v>
      </c>
      <c r="R86" s="363">
        <v>0</v>
      </c>
      <c r="S86" s="363">
        <v>0</v>
      </c>
      <c r="T86" s="363">
        <v>0</v>
      </c>
      <c r="U86" s="363">
        <v>0</v>
      </c>
      <c r="V86" s="363">
        <v>0</v>
      </c>
      <c r="W86" s="363">
        <v>0</v>
      </c>
      <c r="X86" s="363">
        <v>0</v>
      </c>
      <c r="Y86" s="363">
        <v>0</v>
      </c>
      <c r="Z86" s="363">
        <v>0</v>
      </c>
      <c r="AA86" s="363">
        <v>0</v>
      </c>
      <c r="AB86" s="363">
        <v>0</v>
      </c>
      <c r="AC86" s="363">
        <v>0</v>
      </c>
      <c r="AD86" s="363">
        <v>0</v>
      </c>
      <c r="AE86" s="363">
        <v>0</v>
      </c>
      <c r="AF86" s="363">
        <v>0</v>
      </c>
      <c r="AG86" s="363">
        <v>0</v>
      </c>
      <c r="AH86" s="363">
        <v>0</v>
      </c>
      <c r="AI86" s="363">
        <v>0</v>
      </c>
      <c r="AJ86" s="363">
        <v>0</v>
      </c>
      <c r="AK86" s="363">
        <v>0</v>
      </c>
      <c r="AL86" s="363">
        <v>0</v>
      </c>
      <c r="AM86" s="363">
        <v>0</v>
      </c>
      <c r="AN86" s="363">
        <v>0</v>
      </c>
      <c r="AO86" s="363">
        <v>0</v>
      </c>
      <c r="AP86" s="363">
        <v>0</v>
      </c>
      <c r="AQ86" s="363">
        <v>0</v>
      </c>
      <c r="AR86" s="363">
        <v>0</v>
      </c>
      <c r="AS86" s="363">
        <v>0</v>
      </c>
      <c r="AT86" s="363">
        <v>0</v>
      </c>
      <c r="AU86" s="363">
        <v>0</v>
      </c>
      <c r="AV86" s="363">
        <v>0</v>
      </c>
      <c r="AW86" s="363">
        <v>0</v>
      </c>
      <c r="AX86" s="363"/>
      <c r="AY86" s="363"/>
      <c r="AZ86" s="363">
        <v>0</v>
      </c>
      <c r="BA86" s="363">
        <v>0</v>
      </c>
      <c r="BB86" s="363">
        <v>0</v>
      </c>
      <c r="BC86" s="363">
        <v>0</v>
      </c>
      <c r="BD86" s="363">
        <v>0</v>
      </c>
      <c r="BE86" s="363">
        <v>0</v>
      </c>
      <c r="BF86" s="363">
        <v>0</v>
      </c>
      <c r="BG86" s="363"/>
      <c r="BH86" s="363">
        <v>0</v>
      </c>
      <c r="BI86" s="363">
        <v>0</v>
      </c>
      <c r="BJ86" s="363"/>
      <c r="BK86" s="363">
        <v>0</v>
      </c>
      <c r="BL86" s="831">
        <v>306.09477883791396</v>
      </c>
      <c r="BM86" s="411">
        <v>0</v>
      </c>
      <c r="BN86" s="411">
        <v>0</v>
      </c>
      <c r="BO86" s="411">
        <v>0</v>
      </c>
      <c r="BP86" s="411">
        <v>0</v>
      </c>
      <c r="BQ86" s="411">
        <v>0</v>
      </c>
      <c r="BR86" s="411">
        <v>0</v>
      </c>
      <c r="BS86" s="411">
        <v>0</v>
      </c>
      <c r="BT86" s="411"/>
      <c r="BU86" s="411"/>
      <c r="BV86" s="411">
        <v>0</v>
      </c>
      <c r="BW86" s="411">
        <v>0</v>
      </c>
      <c r="BX86" s="411">
        <v>0</v>
      </c>
      <c r="BY86" s="411">
        <v>0</v>
      </c>
      <c r="BZ86" s="411">
        <v>0</v>
      </c>
      <c r="CA86" s="411">
        <v>0</v>
      </c>
      <c r="CB86" s="411">
        <v>0</v>
      </c>
      <c r="CC86" s="411">
        <v>0</v>
      </c>
      <c r="CD86" s="411">
        <v>0</v>
      </c>
      <c r="CE86" s="411">
        <v>0</v>
      </c>
      <c r="CF86" s="411">
        <v>0</v>
      </c>
      <c r="CG86" s="411">
        <v>0</v>
      </c>
      <c r="CH86" s="411">
        <v>0</v>
      </c>
      <c r="CI86" s="411">
        <v>0</v>
      </c>
      <c r="CJ86" s="411">
        <v>0</v>
      </c>
      <c r="CK86" s="411">
        <v>0</v>
      </c>
      <c r="CL86" s="411">
        <v>0</v>
      </c>
      <c r="CM86" s="411"/>
      <c r="CN86" s="411"/>
      <c r="CO86" s="411"/>
      <c r="CP86" s="411"/>
      <c r="CQ86" s="411"/>
      <c r="CR86" s="411"/>
      <c r="CS86" s="411"/>
      <c r="CT86" s="411"/>
      <c r="CU86" s="411"/>
      <c r="CV86" s="411"/>
      <c r="CW86" s="411"/>
      <c r="CX86" s="411"/>
      <c r="CY86" s="411"/>
      <c r="CZ86" s="411"/>
      <c r="DA86" s="411"/>
      <c r="DB86" s="411"/>
      <c r="DC86" s="411"/>
      <c r="DD86" s="411"/>
      <c r="DE86" s="411"/>
      <c r="DF86" s="411"/>
      <c r="DG86" s="411"/>
      <c r="DH86" s="411"/>
      <c r="DI86" s="411"/>
      <c r="DJ86" s="411"/>
      <c r="DK86" s="411"/>
      <c r="DL86" s="411"/>
      <c r="DM86" s="411"/>
      <c r="DN86" s="411"/>
      <c r="DO86" s="411"/>
      <c r="DP86" s="411"/>
      <c r="DQ86" s="411"/>
      <c r="DR86" s="411"/>
      <c r="DS86" s="411"/>
      <c r="DT86" s="411"/>
      <c r="DU86" s="411"/>
      <c r="DV86" s="411"/>
      <c r="DW86" s="676">
        <f t="shared" si="16"/>
        <v>306.09477883791396</v>
      </c>
      <c r="DX86" s="890"/>
      <c r="DY86" s="705"/>
      <c r="DZ86" s="871"/>
      <c r="EA86" s="873"/>
      <c r="EB86" s="859"/>
      <c r="EC86" s="859"/>
      <c r="ED86" s="859"/>
      <c r="EE86" s="859"/>
      <c r="EF86" s="861"/>
      <c r="EG86" s="1106"/>
      <c r="EI86" s="858"/>
      <c r="EJ86" s="877"/>
      <c r="ER86" s="497"/>
    </row>
    <row r="87" spans="1:148" s="278" customFormat="1" ht="12.75" outlineLevel="2" thickBot="1" x14ac:dyDescent="0.25">
      <c r="A87" s="894"/>
      <c r="B87" s="887"/>
      <c r="C87" s="904"/>
      <c r="D87" s="865"/>
      <c r="E87" s="868"/>
      <c r="F87" s="315" t="s">
        <v>211</v>
      </c>
      <c r="G87" s="364">
        <v>0</v>
      </c>
      <c r="H87" s="364">
        <v>0</v>
      </c>
      <c r="I87" s="364">
        <v>0</v>
      </c>
      <c r="J87" s="364">
        <v>0</v>
      </c>
      <c r="K87" s="364">
        <v>0</v>
      </c>
      <c r="L87" s="364">
        <v>0</v>
      </c>
      <c r="M87" s="364">
        <v>0</v>
      </c>
      <c r="N87" s="364">
        <v>0</v>
      </c>
      <c r="O87" s="364">
        <v>0</v>
      </c>
      <c r="P87" s="364">
        <v>0</v>
      </c>
      <c r="Q87" s="364">
        <v>0</v>
      </c>
      <c r="R87" s="364">
        <v>0</v>
      </c>
      <c r="S87" s="364">
        <v>0</v>
      </c>
      <c r="T87" s="364">
        <v>0</v>
      </c>
      <c r="U87" s="364">
        <v>0</v>
      </c>
      <c r="V87" s="364">
        <v>0</v>
      </c>
      <c r="W87" s="364">
        <v>0</v>
      </c>
      <c r="X87" s="364">
        <v>0</v>
      </c>
      <c r="Y87" s="364">
        <v>0</v>
      </c>
      <c r="Z87" s="364">
        <v>0</v>
      </c>
      <c r="AA87" s="364">
        <v>0</v>
      </c>
      <c r="AB87" s="364">
        <v>0</v>
      </c>
      <c r="AC87" s="364">
        <v>0</v>
      </c>
      <c r="AD87" s="364">
        <v>0</v>
      </c>
      <c r="AE87" s="364">
        <v>0</v>
      </c>
      <c r="AF87" s="364">
        <v>0</v>
      </c>
      <c r="AG87" s="364">
        <v>0</v>
      </c>
      <c r="AH87" s="364">
        <v>0</v>
      </c>
      <c r="AI87" s="364">
        <v>0</v>
      </c>
      <c r="AJ87" s="364">
        <v>0</v>
      </c>
      <c r="AK87" s="364">
        <v>0</v>
      </c>
      <c r="AL87" s="364">
        <v>0</v>
      </c>
      <c r="AM87" s="364">
        <v>0</v>
      </c>
      <c r="AN87" s="364">
        <v>0</v>
      </c>
      <c r="AO87" s="364">
        <v>0</v>
      </c>
      <c r="AP87" s="364">
        <v>0</v>
      </c>
      <c r="AQ87" s="364">
        <v>0</v>
      </c>
      <c r="AR87" s="364">
        <v>0</v>
      </c>
      <c r="AS87" s="364">
        <v>0</v>
      </c>
      <c r="AT87" s="364">
        <v>0</v>
      </c>
      <c r="AU87" s="364">
        <v>0</v>
      </c>
      <c r="AV87" s="364">
        <v>0</v>
      </c>
      <c r="AW87" s="364">
        <v>0</v>
      </c>
      <c r="AX87" s="364"/>
      <c r="AY87" s="364"/>
      <c r="AZ87" s="364">
        <v>0</v>
      </c>
      <c r="BA87" s="364">
        <v>0</v>
      </c>
      <c r="BB87" s="364">
        <v>0</v>
      </c>
      <c r="BC87" s="364">
        <v>0</v>
      </c>
      <c r="BD87" s="364">
        <v>445.67321500000003</v>
      </c>
      <c r="BE87" s="364">
        <v>0</v>
      </c>
      <c r="BF87" s="364">
        <v>74.073379000000003</v>
      </c>
      <c r="BG87" s="364">
        <v>711.99981000000002</v>
      </c>
      <c r="BH87" s="364">
        <v>553.54563800000005</v>
      </c>
      <c r="BI87" s="364">
        <v>21.939356</v>
      </c>
      <c r="BJ87" s="364">
        <v>0</v>
      </c>
      <c r="BK87" s="364">
        <v>0</v>
      </c>
      <c r="BL87" s="364">
        <v>214.43595116208598</v>
      </c>
      <c r="BM87" s="562">
        <v>0</v>
      </c>
      <c r="BN87" s="562">
        <v>0</v>
      </c>
      <c r="BO87" s="562">
        <v>0</v>
      </c>
      <c r="BP87" s="562">
        <v>0</v>
      </c>
      <c r="BQ87" s="562">
        <v>0</v>
      </c>
      <c r="BR87" s="562">
        <v>0</v>
      </c>
      <c r="BS87" s="562">
        <v>0</v>
      </c>
      <c r="BT87" s="562"/>
      <c r="BU87" s="562"/>
      <c r="BV87" s="562">
        <v>0</v>
      </c>
      <c r="BW87" s="562">
        <v>0</v>
      </c>
      <c r="BX87" s="562">
        <v>0</v>
      </c>
      <c r="BY87" s="562">
        <v>0</v>
      </c>
      <c r="BZ87" s="562">
        <v>0</v>
      </c>
      <c r="CA87" s="562">
        <v>0</v>
      </c>
      <c r="CB87" s="562">
        <v>0</v>
      </c>
      <c r="CC87" s="562">
        <v>0</v>
      </c>
      <c r="CD87" s="562">
        <v>0</v>
      </c>
      <c r="CE87" s="562">
        <v>0</v>
      </c>
      <c r="CF87" s="562">
        <v>0</v>
      </c>
      <c r="CG87" s="562">
        <v>0</v>
      </c>
      <c r="CH87" s="562">
        <v>0</v>
      </c>
      <c r="CI87" s="562">
        <v>0</v>
      </c>
      <c r="CJ87" s="562">
        <v>0</v>
      </c>
      <c r="CK87" s="562">
        <v>0</v>
      </c>
      <c r="CL87" s="562">
        <v>0</v>
      </c>
      <c r="CM87" s="562"/>
      <c r="CN87" s="562"/>
      <c r="CO87" s="562"/>
      <c r="CP87" s="562"/>
      <c r="CQ87" s="562"/>
      <c r="CR87" s="562"/>
      <c r="CS87" s="562"/>
      <c r="CT87" s="562"/>
      <c r="CU87" s="562"/>
      <c r="CV87" s="562"/>
      <c r="CW87" s="562"/>
      <c r="CX87" s="562"/>
      <c r="CY87" s="562"/>
      <c r="CZ87" s="562"/>
      <c r="DA87" s="562"/>
      <c r="DB87" s="562"/>
      <c r="DC87" s="562"/>
      <c r="DD87" s="562"/>
      <c r="DE87" s="562"/>
      <c r="DF87" s="562"/>
      <c r="DG87" s="562"/>
      <c r="DH87" s="562"/>
      <c r="DI87" s="562"/>
      <c r="DJ87" s="562"/>
      <c r="DK87" s="562"/>
      <c r="DL87" s="562"/>
      <c r="DM87" s="562"/>
      <c r="DN87" s="562"/>
      <c r="DO87" s="562"/>
      <c r="DP87" s="562"/>
      <c r="DQ87" s="562"/>
      <c r="DR87" s="562"/>
      <c r="DS87" s="562"/>
      <c r="DT87" s="562"/>
      <c r="DU87" s="562"/>
      <c r="DV87" s="562"/>
      <c r="DW87" s="677">
        <f t="shared" si="16"/>
        <v>2021.6673491620861</v>
      </c>
      <c r="DX87" s="891"/>
      <c r="DY87" s="706"/>
      <c r="DZ87" s="872"/>
      <c r="EA87" s="873"/>
      <c r="EB87" s="859"/>
      <c r="EC87" s="859"/>
      <c r="ED87" s="859"/>
      <c r="EE87" s="859"/>
      <c r="EF87" s="861"/>
      <c r="EG87" s="1107"/>
      <c r="EI87" s="858"/>
      <c r="EJ87" s="877"/>
      <c r="EO87" s="419"/>
      <c r="ER87" s="497"/>
    </row>
    <row r="88" spans="1:148" s="278" customFormat="1" ht="24" outlineLevel="2" x14ac:dyDescent="0.2">
      <c r="A88" s="892" t="s">
        <v>380</v>
      </c>
      <c r="B88" s="897" t="s">
        <v>329</v>
      </c>
      <c r="C88" s="902">
        <v>8</v>
      </c>
      <c r="D88" s="863">
        <f>+IFERROR(VLOOKUP(B88,'Detalle Plan de Adquisiciones'!$G$6:$M$66,7,FALSE),0)</f>
        <v>5908664668</v>
      </c>
      <c r="E88" s="866" t="str">
        <f>+'Detalle Plan de Adquisiciones'!F20</f>
        <v>CONSTRUCCIÓN DE PAVIMENTO RÍGIDO, ANDENES Y ESPACIO PUBLICO DE LA CALLE 29 ENTRE CARRERA 1 Y AVENIDA CIRCUNVALAR, ID (212-213). PERTENECIENTE AL SISTEMA ESTRATÉGICO DE TRANSPORTE PUBLICO "SETP" DE LA CIUDAD DE MONTERÍA.</v>
      </c>
      <c r="F88" s="312" t="s">
        <v>410</v>
      </c>
      <c r="G88" s="354">
        <v>0</v>
      </c>
      <c r="H88" s="354">
        <v>0</v>
      </c>
      <c r="I88" s="354">
        <v>0</v>
      </c>
      <c r="J88" s="354">
        <v>0</v>
      </c>
      <c r="K88" s="354">
        <v>0</v>
      </c>
      <c r="L88" s="354">
        <v>0</v>
      </c>
      <c r="M88" s="354">
        <v>0</v>
      </c>
      <c r="N88" s="354">
        <v>0</v>
      </c>
      <c r="O88" s="354">
        <v>0</v>
      </c>
      <c r="P88" s="354">
        <v>0</v>
      </c>
      <c r="Q88" s="354">
        <v>0</v>
      </c>
      <c r="R88" s="354">
        <v>0</v>
      </c>
      <c r="S88" s="354">
        <v>0</v>
      </c>
      <c r="T88" s="354">
        <v>0</v>
      </c>
      <c r="U88" s="354">
        <v>0</v>
      </c>
      <c r="V88" s="354">
        <v>0</v>
      </c>
      <c r="W88" s="354">
        <v>0</v>
      </c>
      <c r="X88" s="354">
        <v>0</v>
      </c>
      <c r="Y88" s="354">
        <v>0</v>
      </c>
      <c r="Z88" s="354">
        <v>0</v>
      </c>
      <c r="AA88" s="354">
        <v>0</v>
      </c>
      <c r="AB88" s="354">
        <v>0</v>
      </c>
      <c r="AC88" s="354">
        <v>0</v>
      </c>
      <c r="AD88" s="354">
        <v>0</v>
      </c>
      <c r="AE88" s="354">
        <v>0</v>
      </c>
      <c r="AF88" s="354">
        <v>0</v>
      </c>
      <c r="AG88" s="354">
        <v>0</v>
      </c>
      <c r="AH88" s="354">
        <v>0</v>
      </c>
      <c r="AI88" s="354">
        <v>0</v>
      </c>
      <c r="AJ88" s="354">
        <v>0</v>
      </c>
      <c r="AK88" s="354">
        <v>0</v>
      </c>
      <c r="AL88" s="354">
        <v>0</v>
      </c>
      <c r="AM88" s="354">
        <v>0</v>
      </c>
      <c r="AN88" s="354">
        <v>0</v>
      </c>
      <c r="AO88" s="354">
        <v>0</v>
      </c>
      <c r="AP88" s="354">
        <v>0</v>
      </c>
      <c r="AQ88" s="354">
        <v>0</v>
      </c>
      <c r="AR88" s="354">
        <v>0</v>
      </c>
      <c r="AS88" s="354">
        <v>0</v>
      </c>
      <c r="AT88" s="354">
        <v>0</v>
      </c>
      <c r="AU88" s="354">
        <v>0</v>
      </c>
      <c r="AV88" s="354">
        <v>0</v>
      </c>
      <c r="AW88" s="354">
        <v>0</v>
      </c>
      <c r="AX88" s="354">
        <v>0</v>
      </c>
      <c r="AY88" s="354">
        <v>0</v>
      </c>
      <c r="AZ88" s="354">
        <v>0</v>
      </c>
      <c r="BA88" s="354">
        <v>0</v>
      </c>
      <c r="BB88" s="354">
        <v>0</v>
      </c>
      <c r="BC88" s="354">
        <v>0</v>
      </c>
      <c r="BD88" s="354">
        <v>0</v>
      </c>
      <c r="BE88" s="354">
        <v>0</v>
      </c>
      <c r="BF88" s="354">
        <v>0</v>
      </c>
      <c r="BG88" s="354">
        <v>593.36573099999998</v>
      </c>
      <c r="BH88" s="354">
        <v>0</v>
      </c>
      <c r="BI88" s="354">
        <v>0</v>
      </c>
      <c r="BJ88" s="354">
        <v>674.78089499999999</v>
      </c>
      <c r="BK88" s="354">
        <v>0</v>
      </c>
      <c r="BL88" s="354">
        <v>1043.733757</v>
      </c>
      <c r="BM88" s="354">
        <v>0</v>
      </c>
      <c r="BN88" s="354">
        <v>1204.482479</v>
      </c>
      <c r="BO88" s="354">
        <v>565.539444</v>
      </c>
      <c r="BP88" s="354">
        <v>0</v>
      </c>
      <c r="BQ88" s="354">
        <v>848.66886499999998</v>
      </c>
      <c r="BR88" s="354">
        <v>0</v>
      </c>
      <c r="BS88" s="354">
        <v>0</v>
      </c>
      <c r="BT88" s="354"/>
      <c r="BU88" s="400">
        <v>978.09349699999996</v>
      </c>
      <c r="BV88" s="354"/>
      <c r="BW88" s="354">
        <v>0</v>
      </c>
      <c r="BX88" s="354">
        <v>0</v>
      </c>
      <c r="BY88" s="354">
        <v>0</v>
      </c>
      <c r="BZ88" s="354">
        <v>0</v>
      </c>
      <c r="CA88" s="354">
        <v>0</v>
      </c>
      <c r="CB88" s="354">
        <v>0</v>
      </c>
      <c r="CC88" s="354">
        <v>0</v>
      </c>
      <c r="CD88" s="354">
        <v>0</v>
      </c>
      <c r="CE88" s="354">
        <v>0</v>
      </c>
      <c r="CF88" s="354">
        <v>0</v>
      </c>
      <c r="CG88" s="354">
        <v>0</v>
      </c>
      <c r="CH88" s="354">
        <v>0</v>
      </c>
      <c r="CI88" s="354">
        <v>0</v>
      </c>
      <c r="CJ88" s="354">
        <v>0</v>
      </c>
      <c r="CK88" s="354">
        <v>0</v>
      </c>
      <c r="CL88" s="354">
        <v>0</v>
      </c>
      <c r="CM88" s="354">
        <v>0</v>
      </c>
      <c r="CN88" s="354">
        <v>0</v>
      </c>
      <c r="CO88" s="354">
        <v>0</v>
      </c>
      <c r="CP88" s="354">
        <v>0</v>
      </c>
      <c r="CQ88" s="354">
        <v>0</v>
      </c>
      <c r="CR88" s="354">
        <v>0</v>
      </c>
      <c r="CS88" s="354">
        <v>0</v>
      </c>
      <c r="CT88" s="354">
        <v>0</v>
      </c>
      <c r="CU88" s="354">
        <v>0</v>
      </c>
      <c r="CV88" s="354">
        <v>0</v>
      </c>
      <c r="CW88" s="354">
        <v>0</v>
      </c>
      <c r="CX88" s="354">
        <v>0</v>
      </c>
      <c r="CY88" s="354"/>
      <c r="CZ88" s="354"/>
      <c r="DA88" s="354"/>
      <c r="DB88" s="354"/>
      <c r="DC88" s="354"/>
      <c r="DD88" s="354"/>
      <c r="DE88" s="354"/>
      <c r="DF88" s="354"/>
      <c r="DG88" s="354"/>
      <c r="DH88" s="354"/>
      <c r="DI88" s="354"/>
      <c r="DJ88" s="354"/>
      <c r="DK88" s="354"/>
      <c r="DL88" s="354"/>
      <c r="DM88" s="354"/>
      <c r="DN88" s="354"/>
      <c r="DO88" s="354"/>
      <c r="DP88" s="354"/>
      <c r="DQ88" s="354"/>
      <c r="DR88" s="354"/>
      <c r="DS88" s="354"/>
      <c r="DT88" s="354"/>
      <c r="DU88" s="354"/>
      <c r="DV88" s="354"/>
      <c r="DW88" s="543">
        <f t="shared" si="16"/>
        <v>5908.6646679999994</v>
      </c>
      <c r="DX88" s="858">
        <f>DW88+DW89+DW90</f>
        <v>5908.6646679999994</v>
      </c>
      <c r="DY88" s="707">
        <f>+DX88*1000000</f>
        <v>5908664667.999999</v>
      </c>
      <c r="DZ88" s="870">
        <f>+DY88-D88</f>
        <v>0</v>
      </c>
      <c r="EA88" s="873">
        <f>VLOOKUP(POA!$B88,'Detalle Plan de Adquisiciones'!$G$6:$AF$66,23,0)</f>
        <v>41744</v>
      </c>
      <c r="EB88" s="859">
        <f>VLOOKUP(POA!$B88,'Detalle Plan de Adquisiciones'!$G$6:$AF$66,25,0)</f>
        <v>41988</v>
      </c>
      <c r="EC88" s="859">
        <f>EB88+30</f>
        <v>42018</v>
      </c>
      <c r="ED88" s="859" t="str">
        <f>CONCATENATE(MONTH(EA88),"-",YEAR(EA88))</f>
        <v>4-2014</v>
      </c>
      <c r="EE88" s="859" t="str">
        <f>CONCATENATE(MONTH(EB88),"-",YEAR(EB88))</f>
        <v>12-2014</v>
      </c>
      <c r="EF88" s="861" t="str">
        <f>CONCATENATE(MONTH(EC88),"-",YEAR(EC88))</f>
        <v>1-2015</v>
      </c>
      <c r="EG88" s="1105">
        <f>+YEAR(EA88)</f>
        <v>2014</v>
      </c>
      <c r="EH88" s="393">
        <f>+DY88</f>
        <v>5908664667.999999</v>
      </c>
      <c r="EI88" s="858">
        <f>+DW88+DW89+DW90</f>
        <v>5908.6646679999994</v>
      </c>
      <c r="EJ88" s="877">
        <f>+D88/1000000-EI88</f>
        <v>0</v>
      </c>
      <c r="ER88" s="497"/>
    </row>
    <row r="89" spans="1:148" s="278" customFormat="1" outlineLevel="2" x14ac:dyDescent="0.2">
      <c r="A89" s="893"/>
      <c r="B89" s="886"/>
      <c r="C89" s="903"/>
      <c r="D89" s="864"/>
      <c r="E89" s="867"/>
      <c r="F89" s="311" t="s">
        <v>210</v>
      </c>
      <c r="G89" s="363">
        <v>0</v>
      </c>
      <c r="H89" s="363">
        <v>0</v>
      </c>
      <c r="I89" s="363">
        <v>0</v>
      </c>
      <c r="J89" s="363">
        <v>0</v>
      </c>
      <c r="K89" s="363">
        <v>0</v>
      </c>
      <c r="L89" s="363">
        <v>0</v>
      </c>
      <c r="M89" s="363">
        <v>0</v>
      </c>
      <c r="N89" s="363">
        <v>0</v>
      </c>
      <c r="O89" s="363">
        <v>0</v>
      </c>
      <c r="P89" s="363">
        <v>0</v>
      </c>
      <c r="Q89" s="363">
        <v>0</v>
      </c>
      <c r="R89" s="363">
        <v>0</v>
      </c>
      <c r="S89" s="363">
        <v>0</v>
      </c>
      <c r="T89" s="363">
        <v>0</v>
      </c>
      <c r="U89" s="363">
        <v>0</v>
      </c>
      <c r="V89" s="363">
        <v>0</v>
      </c>
      <c r="W89" s="363">
        <v>0</v>
      </c>
      <c r="X89" s="363">
        <v>0</v>
      </c>
      <c r="Y89" s="363">
        <v>0</v>
      </c>
      <c r="Z89" s="363">
        <v>0</v>
      </c>
      <c r="AA89" s="363">
        <v>0</v>
      </c>
      <c r="AB89" s="363">
        <v>0</v>
      </c>
      <c r="AC89" s="363">
        <v>0</v>
      </c>
      <c r="AD89" s="363">
        <v>0</v>
      </c>
      <c r="AE89" s="363">
        <v>0</v>
      </c>
      <c r="AF89" s="363">
        <v>0</v>
      </c>
      <c r="AG89" s="363">
        <v>0</v>
      </c>
      <c r="AH89" s="363">
        <v>0</v>
      </c>
      <c r="AI89" s="363">
        <v>0</v>
      </c>
      <c r="AJ89" s="363">
        <v>0</v>
      </c>
      <c r="AK89" s="363">
        <v>0</v>
      </c>
      <c r="AL89" s="363">
        <v>0</v>
      </c>
      <c r="AM89" s="363">
        <v>0</v>
      </c>
      <c r="AN89" s="363">
        <v>0</v>
      </c>
      <c r="AO89" s="363">
        <v>0</v>
      </c>
      <c r="AP89" s="363">
        <v>0</v>
      </c>
      <c r="AQ89" s="363">
        <v>0</v>
      </c>
      <c r="AR89" s="363">
        <v>0</v>
      </c>
      <c r="AS89" s="363">
        <v>0</v>
      </c>
      <c r="AT89" s="363">
        <v>0</v>
      </c>
      <c r="AU89" s="363">
        <v>0</v>
      </c>
      <c r="AV89" s="363">
        <v>0</v>
      </c>
      <c r="AW89" s="363">
        <v>0</v>
      </c>
      <c r="AX89" s="363">
        <v>0</v>
      </c>
      <c r="AY89" s="363">
        <v>0</v>
      </c>
      <c r="AZ89" s="363">
        <v>0</v>
      </c>
      <c r="BA89" s="363">
        <v>0</v>
      </c>
      <c r="BB89" s="363">
        <v>0</v>
      </c>
      <c r="BC89" s="363">
        <v>0</v>
      </c>
      <c r="BD89" s="363">
        <v>0</v>
      </c>
      <c r="BE89" s="363">
        <v>0</v>
      </c>
      <c r="BF89" s="363">
        <v>0</v>
      </c>
      <c r="BG89" s="363">
        <v>0</v>
      </c>
      <c r="BH89" s="363">
        <v>0</v>
      </c>
      <c r="BI89" s="363">
        <v>0</v>
      </c>
      <c r="BJ89" s="363">
        <v>0</v>
      </c>
      <c r="BK89" s="363">
        <v>0</v>
      </c>
      <c r="BL89" s="363">
        <v>0</v>
      </c>
      <c r="BM89" s="363">
        <v>0</v>
      </c>
      <c r="BN89" s="363">
        <v>0</v>
      </c>
      <c r="BO89" s="363">
        <v>0</v>
      </c>
      <c r="BP89" s="363">
        <v>0</v>
      </c>
      <c r="BQ89" s="363">
        <v>0</v>
      </c>
      <c r="BR89" s="363">
        <v>0</v>
      </c>
      <c r="BS89" s="363">
        <v>0</v>
      </c>
      <c r="BT89" s="363">
        <v>0</v>
      </c>
      <c r="BU89" s="363">
        <v>0</v>
      </c>
      <c r="BV89" s="363">
        <v>0</v>
      </c>
      <c r="BW89" s="363">
        <v>0</v>
      </c>
      <c r="BX89" s="363">
        <v>0</v>
      </c>
      <c r="BY89" s="363">
        <v>0</v>
      </c>
      <c r="BZ89" s="363">
        <v>0</v>
      </c>
      <c r="CA89" s="363">
        <v>0</v>
      </c>
      <c r="CB89" s="363">
        <v>0</v>
      </c>
      <c r="CC89" s="363">
        <v>0</v>
      </c>
      <c r="CD89" s="363">
        <v>0</v>
      </c>
      <c r="CE89" s="363">
        <v>0</v>
      </c>
      <c r="CF89" s="363">
        <v>0</v>
      </c>
      <c r="CG89" s="363">
        <v>0</v>
      </c>
      <c r="CH89" s="363">
        <v>0</v>
      </c>
      <c r="CI89" s="363">
        <v>0</v>
      </c>
      <c r="CJ89" s="363">
        <v>0</v>
      </c>
      <c r="CK89" s="363">
        <v>0</v>
      </c>
      <c r="CL89" s="363">
        <v>0</v>
      </c>
      <c r="CM89" s="363">
        <v>0</v>
      </c>
      <c r="CN89" s="363">
        <v>0</v>
      </c>
      <c r="CO89" s="363">
        <v>0</v>
      </c>
      <c r="CP89" s="363">
        <v>0</v>
      </c>
      <c r="CQ89" s="363">
        <v>0</v>
      </c>
      <c r="CR89" s="363">
        <v>0</v>
      </c>
      <c r="CS89" s="363">
        <v>0</v>
      </c>
      <c r="CT89" s="363">
        <v>0</v>
      </c>
      <c r="CU89" s="363">
        <v>0</v>
      </c>
      <c r="CV89" s="363">
        <v>0</v>
      </c>
      <c r="CW89" s="363">
        <v>0</v>
      </c>
      <c r="CX89" s="363">
        <v>0</v>
      </c>
      <c r="CY89" s="363"/>
      <c r="CZ89" s="363"/>
      <c r="DA89" s="363"/>
      <c r="DB89" s="363"/>
      <c r="DC89" s="363"/>
      <c r="DD89" s="363"/>
      <c r="DE89" s="363"/>
      <c r="DF89" s="363"/>
      <c r="DG89" s="363"/>
      <c r="DH89" s="363"/>
      <c r="DI89" s="363"/>
      <c r="DJ89" s="363"/>
      <c r="DK89" s="363"/>
      <c r="DL89" s="363"/>
      <c r="DM89" s="363"/>
      <c r="DN89" s="363"/>
      <c r="DO89" s="363"/>
      <c r="DP89" s="363"/>
      <c r="DQ89" s="363"/>
      <c r="DR89" s="363"/>
      <c r="DS89" s="363"/>
      <c r="DT89" s="363"/>
      <c r="DU89" s="363"/>
      <c r="DV89" s="363"/>
      <c r="DW89" s="544">
        <f t="shared" si="16"/>
        <v>0</v>
      </c>
      <c r="DX89" s="858"/>
      <c r="DY89" s="708"/>
      <c r="DZ89" s="871"/>
      <c r="EA89" s="873"/>
      <c r="EB89" s="859"/>
      <c r="EC89" s="859"/>
      <c r="ED89" s="859"/>
      <c r="EE89" s="859"/>
      <c r="EF89" s="861"/>
      <c r="EG89" s="1106"/>
      <c r="EI89" s="858"/>
      <c r="EJ89" s="877"/>
      <c r="EO89" s="419"/>
      <c r="ER89" s="497"/>
    </row>
    <row r="90" spans="1:148" s="278" customFormat="1" ht="10.5" customHeight="1" outlineLevel="2" thickBot="1" x14ac:dyDescent="0.25">
      <c r="A90" s="894"/>
      <c r="B90" s="887"/>
      <c r="C90" s="904"/>
      <c r="D90" s="865"/>
      <c r="E90" s="868"/>
      <c r="F90" s="315" t="s">
        <v>211</v>
      </c>
      <c r="G90" s="364">
        <v>0</v>
      </c>
      <c r="H90" s="364">
        <v>0</v>
      </c>
      <c r="I90" s="364">
        <v>0</v>
      </c>
      <c r="J90" s="364">
        <v>0</v>
      </c>
      <c r="K90" s="364">
        <v>0</v>
      </c>
      <c r="L90" s="364">
        <v>0</v>
      </c>
      <c r="M90" s="364">
        <v>0</v>
      </c>
      <c r="N90" s="364">
        <v>0</v>
      </c>
      <c r="O90" s="364">
        <v>0</v>
      </c>
      <c r="P90" s="364">
        <v>0</v>
      </c>
      <c r="Q90" s="364">
        <v>0</v>
      </c>
      <c r="R90" s="364">
        <v>0</v>
      </c>
      <c r="S90" s="364">
        <v>0</v>
      </c>
      <c r="T90" s="364">
        <v>0</v>
      </c>
      <c r="U90" s="364">
        <v>0</v>
      </c>
      <c r="V90" s="364">
        <v>0</v>
      </c>
      <c r="W90" s="364">
        <v>0</v>
      </c>
      <c r="X90" s="364">
        <v>0</v>
      </c>
      <c r="Y90" s="364">
        <v>0</v>
      </c>
      <c r="Z90" s="364">
        <v>0</v>
      </c>
      <c r="AA90" s="364">
        <v>0</v>
      </c>
      <c r="AB90" s="364">
        <v>0</v>
      </c>
      <c r="AC90" s="364">
        <v>0</v>
      </c>
      <c r="AD90" s="364">
        <v>0</v>
      </c>
      <c r="AE90" s="364">
        <v>0</v>
      </c>
      <c r="AF90" s="364">
        <v>0</v>
      </c>
      <c r="AG90" s="364">
        <v>0</v>
      </c>
      <c r="AH90" s="364">
        <v>0</v>
      </c>
      <c r="AI90" s="364">
        <v>0</v>
      </c>
      <c r="AJ90" s="364">
        <v>0</v>
      </c>
      <c r="AK90" s="364">
        <v>0</v>
      </c>
      <c r="AL90" s="364">
        <v>0</v>
      </c>
      <c r="AM90" s="364">
        <v>0</v>
      </c>
      <c r="AN90" s="364">
        <v>0</v>
      </c>
      <c r="AO90" s="364">
        <v>0</v>
      </c>
      <c r="AP90" s="364">
        <v>0</v>
      </c>
      <c r="AQ90" s="364">
        <v>0</v>
      </c>
      <c r="AR90" s="364">
        <v>0</v>
      </c>
      <c r="AS90" s="364">
        <v>0</v>
      </c>
      <c r="AT90" s="364">
        <v>0</v>
      </c>
      <c r="AU90" s="364">
        <v>0</v>
      </c>
      <c r="AV90" s="364">
        <v>0</v>
      </c>
      <c r="AW90" s="364">
        <v>0</v>
      </c>
      <c r="AX90" s="364">
        <v>0</v>
      </c>
      <c r="AY90" s="364">
        <v>0</v>
      </c>
      <c r="AZ90" s="364">
        <v>0</v>
      </c>
      <c r="BA90" s="364">
        <v>0</v>
      </c>
      <c r="BB90" s="364">
        <v>0</v>
      </c>
      <c r="BC90" s="364">
        <v>0</v>
      </c>
      <c r="BD90" s="364">
        <v>0</v>
      </c>
      <c r="BE90" s="364">
        <v>0</v>
      </c>
      <c r="BF90" s="364">
        <v>0</v>
      </c>
      <c r="BG90" s="364">
        <v>0</v>
      </c>
      <c r="BH90" s="364">
        <v>0</v>
      </c>
      <c r="BI90" s="364">
        <v>0</v>
      </c>
      <c r="BJ90" s="364">
        <v>0</v>
      </c>
      <c r="BK90" s="364">
        <v>0</v>
      </c>
      <c r="BL90" s="364">
        <v>0</v>
      </c>
      <c r="BM90" s="364">
        <v>0</v>
      </c>
      <c r="BN90" s="364">
        <v>0</v>
      </c>
      <c r="BO90" s="364">
        <v>0</v>
      </c>
      <c r="BP90" s="364">
        <v>0</v>
      </c>
      <c r="BQ90" s="364">
        <v>0</v>
      </c>
      <c r="BR90" s="364">
        <v>0</v>
      </c>
      <c r="BS90" s="364">
        <v>0</v>
      </c>
      <c r="BT90" s="364">
        <v>0</v>
      </c>
      <c r="BU90" s="364">
        <v>0</v>
      </c>
      <c r="BV90" s="364">
        <v>0</v>
      </c>
      <c r="BW90" s="364">
        <v>0</v>
      </c>
      <c r="BX90" s="364">
        <v>0</v>
      </c>
      <c r="BY90" s="364">
        <v>0</v>
      </c>
      <c r="BZ90" s="364">
        <v>0</v>
      </c>
      <c r="CA90" s="364">
        <v>0</v>
      </c>
      <c r="CB90" s="364">
        <v>0</v>
      </c>
      <c r="CC90" s="364">
        <v>0</v>
      </c>
      <c r="CD90" s="364">
        <v>0</v>
      </c>
      <c r="CE90" s="364">
        <v>0</v>
      </c>
      <c r="CF90" s="364">
        <v>0</v>
      </c>
      <c r="CG90" s="364">
        <v>0</v>
      </c>
      <c r="CH90" s="364">
        <v>0</v>
      </c>
      <c r="CI90" s="364">
        <v>0</v>
      </c>
      <c r="CJ90" s="364">
        <v>0</v>
      </c>
      <c r="CK90" s="364">
        <v>0</v>
      </c>
      <c r="CL90" s="364">
        <v>0</v>
      </c>
      <c r="CM90" s="364">
        <v>0</v>
      </c>
      <c r="CN90" s="364">
        <v>0</v>
      </c>
      <c r="CO90" s="364">
        <v>0</v>
      </c>
      <c r="CP90" s="364">
        <v>0</v>
      </c>
      <c r="CQ90" s="364">
        <v>0</v>
      </c>
      <c r="CR90" s="364">
        <v>0</v>
      </c>
      <c r="CS90" s="364">
        <v>0</v>
      </c>
      <c r="CT90" s="364">
        <v>0</v>
      </c>
      <c r="CU90" s="364">
        <v>0</v>
      </c>
      <c r="CV90" s="364">
        <v>0</v>
      </c>
      <c r="CW90" s="364">
        <v>0</v>
      </c>
      <c r="CX90" s="364">
        <v>0</v>
      </c>
      <c r="CY90" s="364"/>
      <c r="CZ90" s="364"/>
      <c r="DA90" s="364"/>
      <c r="DB90" s="364"/>
      <c r="DC90" s="364"/>
      <c r="DD90" s="364"/>
      <c r="DE90" s="364"/>
      <c r="DF90" s="364"/>
      <c r="DG90" s="364"/>
      <c r="DH90" s="364"/>
      <c r="DI90" s="364"/>
      <c r="DJ90" s="364"/>
      <c r="DK90" s="364"/>
      <c r="DL90" s="364"/>
      <c r="DM90" s="364"/>
      <c r="DN90" s="364"/>
      <c r="DO90" s="364"/>
      <c r="DP90" s="364"/>
      <c r="DQ90" s="364"/>
      <c r="DR90" s="364"/>
      <c r="DS90" s="364"/>
      <c r="DT90" s="364"/>
      <c r="DU90" s="364"/>
      <c r="DV90" s="364"/>
      <c r="DW90" s="649">
        <f t="shared" si="16"/>
        <v>0</v>
      </c>
      <c r="DX90" s="858"/>
      <c r="DY90" s="709"/>
      <c r="DZ90" s="872"/>
      <c r="EA90" s="873"/>
      <c r="EB90" s="859"/>
      <c r="EC90" s="859"/>
      <c r="ED90" s="859"/>
      <c r="EE90" s="859"/>
      <c r="EF90" s="861"/>
      <c r="EG90" s="1107"/>
      <c r="EI90" s="858"/>
      <c r="EJ90" s="877"/>
      <c r="EO90" s="393"/>
      <c r="ER90" s="497"/>
    </row>
    <row r="91" spans="1:148" s="278" customFormat="1" ht="24" outlineLevel="2" x14ac:dyDescent="0.2">
      <c r="A91" s="892" t="s">
        <v>381</v>
      </c>
      <c r="B91" s="897" t="s">
        <v>330</v>
      </c>
      <c r="C91" s="902">
        <v>5</v>
      </c>
      <c r="D91" s="863">
        <f>+'Detalle Plan de Adquisiciones'!M21</f>
        <v>2686696606</v>
      </c>
      <c r="E91" s="866" t="str">
        <f>+'Detalle Plan de Adquisiciones'!F21</f>
        <v>RECONSTRUCCIÓN DEL PAVIMENTO RÍGIDO, ANDENES Y ESPACIO PÚBLICO DE LA CALLE 28 ENTRE AVENIDA PRIMERA Y CARRERA 12, ID (214, 215). PERTENECIENTE AL SISTEMA ESTRATÉGICO DE TRANSPORTE PUBLICO "SETP" DE LA CIUDAD DE MONTERÍA</v>
      </c>
      <c r="F91" s="312" t="s">
        <v>410</v>
      </c>
      <c r="G91" s="354">
        <v>0</v>
      </c>
      <c r="H91" s="354">
        <v>0</v>
      </c>
      <c r="I91" s="354">
        <v>0</v>
      </c>
      <c r="J91" s="354">
        <v>0</v>
      </c>
      <c r="K91" s="354">
        <v>0</v>
      </c>
      <c r="L91" s="354">
        <v>0</v>
      </c>
      <c r="M91" s="354">
        <v>0</v>
      </c>
      <c r="N91" s="354">
        <v>0</v>
      </c>
      <c r="O91" s="354">
        <v>0</v>
      </c>
      <c r="P91" s="354">
        <v>0</v>
      </c>
      <c r="Q91" s="354">
        <v>0</v>
      </c>
      <c r="R91" s="354">
        <v>0</v>
      </c>
      <c r="S91" s="354">
        <v>0</v>
      </c>
      <c r="T91" s="354">
        <v>0</v>
      </c>
      <c r="U91" s="354">
        <v>0</v>
      </c>
      <c r="V91" s="354">
        <v>0</v>
      </c>
      <c r="W91" s="354">
        <v>0</v>
      </c>
      <c r="X91" s="354">
        <v>0</v>
      </c>
      <c r="Y91" s="354">
        <v>0</v>
      </c>
      <c r="Z91" s="354">
        <v>0</v>
      </c>
      <c r="AA91" s="354">
        <v>0</v>
      </c>
      <c r="AB91" s="354">
        <v>0</v>
      </c>
      <c r="AC91" s="354">
        <v>0</v>
      </c>
      <c r="AD91" s="354">
        <v>0</v>
      </c>
      <c r="AE91" s="354">
        <v>0</v>
      </c>
      <c r="AF91" s="354">
        <v>0</v>
      </c>
      <c r="AG91" s="354">
        <v>0</v>
      </c>
      <c r="AH91" s="354">
        <v>0</v>
      </c>
      <c r="AI91" s="354">
        <v>0</v>
      </c>
      <c r="AJ91" s="354">
        <v>0</v>
      </c>
      <c r="AK91" s="354">
        <v>0</v>
      </c>
      <c r="AL91" s="354">
        <v>0</v>
      </c>
      <c r="AM91" s="354">
        <v>0</v>
      </c>
      <c r="AN91" s="354">
        <v>0</v>
      </c>
      <c r="AO91" s="354">
        <v>0</v>
      </c>
      <c r="AP91" s="354">
        <v>0</v>
      </c>
      <c r="AQ91" s="354">
        <v>0</v>
      </c>
      <c r="AR91" s="354">
        <v>0</v>
      </c>
      <c r="AS91" s="354">
        <v>0</v>
      </c>
      <c r="AT91" s="354">
        <v>0</v>
      </c>
      <c r="AU91" s="354">
        <v>0</v>
      </c>
      <c r="AV91" s="354">
        <v>0</v>
      </c>
      <c r="AW91" s="354">
        <v>0</v>
      </c>
      <c r="AX91" s="354">
        <v>0</v>
      </c>
      <c r="AY91" s="354">
        <v>0</v>
      </c>
      <c r="AZ91" s="354">
        <v>0</v>
      </c>
      <c r="BA91" s="354">
        <v>0</v>
      </c>
      <c r="BB91" s="354">
        <v>0</v>
      </c>
      <c r="BC91" s="354">
        <v>0</v>
      </c>
      <c r="BD91" s="354">
        <v>0</v>
      </c>
      <c r="BE91" s="354">
        <v>0</v>
      </c>
      <c r="BF91" s="354">
        <v>0</v>
      </c>
      <c r="BG91" s="354">
        <v>0</v>
      </c>
      <c r="BH91" s="354">
        <v>302.16234300000002</v>
      </c>
      <c r="BI91" s="354">
        <v>0</v>
      </c>
      <c r="BJ91" s="354">
        <v>234.57174900000001</v>
      </c>
      <c r="BK91" s="354">
        <v>0</v>
      </c>
      <c r="BL91" s="354">
        <v>276.72771999999998</v>
      </c>
      <c r="BM91" s="354">
        <v>0</v>
      </c>
      <c r="BN91" s="354">
        <v>615.00660100000005</v>
      </c>
      <c r="BO91" s="354">
        <v>250.940662</v>
      </c>
      <c r="BP91" s="354">
        <v>0</v>
      </c>
      <c r="BQ91" s="354">
        <v>0</v>
      </c>
      <c r="BR91" s="354">
        <v>0</v>
      </c>
      <c r="BS91" s="400">
        <v>322.01360199999999</v>
      </c>
      <c r="BT91" s="354">
        <v>0</v>
      </c>
      <c r="BU91" s="354">
        <v>0</v>
      </c>
      <c r="BV91" s="354">
        <v>0</v>
      </c>
      <c r="BW91" s="354">
        <v>0</v>
      </c>
      <c r="BX91" s="354">
        <v>0</v>
      </c>
      <c r="BY91" s="354">
        <v>0</v>
      </c>
      <c r="BZ91" s="354">
        <v>0</v>
      </c>
      <c r="CA91" s="354">
        <v>0</v>
      </c>
      <c r="CB91" s="354">
        <v>0</v>
      </c>
      <c r="CC91" s="354">
        <v>0</v>
      </c>
      <c r="CD91" s="354">
        <v>0</v>
      </c>
      <c r="CE91" s="354">
        <v>0</v>
      </c>
      <c r="CF91" s="354">
        <v>0</v>
      </c>
      <c r="CG91" s="354">
        <v>0</v>
      </c>
      <c r="CH91" s="354">
        <v>0</v>
      </c>
      <c r="CI91" s="354">
        <v>0</v>
      </c>
      <c r="CJ91" s="354">
        <v>0</v>
      </c>
      <c r="CK91" s="354">
        <v>0</v>
      </c>
      <c r="CL91" s="354">
        <v>0</v>
      </c>
      <c r="CM91" s="354">
        <v>0</v>
      </c>
      <c r="CN91" s="354">
        <v>0</v>
      </c>
      <c r="CO91" s="354">
        <v>0</v>
      </c>
      <c r="CP91" s="354">
        <v>0</v>
      </c>
      <c r="CQ91" s="354">
        <v>0</v>
      </c>
      <c r="CR91" s="354">
        <v>0</v>
      </c>
      <c r="CS91" s="354">
        <v>0</v>
      </c>
      <c r="CT91" s="354">
        <v>0</v>
      </c>
      <c r="CU91" s="354">
        <v>0</v>
      </c>
      <c r="CV91" s="354">
        <v>0</v>
      </c>
      <c r="CW91" s="354">
        <v>0</v>
      </c>
      <c r="CX91" s="354">
        <v>0</v>
      </c>
      <c r="CY91" s="354"/>
      <c r="CZ91" s="354"/>
      <c r="DA91" s="354"/>
      <c r="DB91" s="354"/>
      <c r="DC91" s="354"/>
      <c r="DD91" s="354"/>
      <c r="DE91" s="354"/>
      <c r="DF91" s="354"/>
      <c r="DG91" s="354"/>
      <c r="DH91" s="354"/>
      <c r="DI91" s="354"/>
      <c r="DJ91" s="354"/>
      <c r="DK91" s="354"/>
      <c r="DL91" s="354"/>
      <c r="DM91" s="354"/>
      <c r="DN91" s="354"/>
      <c r="DO91" s="354"/>
      <c r="DP91" s="354"/>
      <c r="DQ91" s="354"/>
      <c r="DR91" s="354"/>
      <c r="DS91" s="354"/>
      <c r="DT91" s="354"/>
      <c r="DU91" s="354"/>
      <c r="DV91" s="354"/>
      <c r="DW91" s="675">
        <f t="shared" si="16"/>
        <v>2001.422677</v>
      </c>
      <c r="DX91" s="858">
        <f>DW91+DW92+DW93</f>
        <v>2686.696606</v>
      </c>
      <c r="DY91" s="707">
        <f>+DX91*1000000</f>
        <v>2686696606</v>
      </c>
      <c r="DZ91" s="870">
        <f>+DY91-D91</f>
        <v>0</v>
      </c>
      <c r="EA91" s="873">
        <f>VLOOKUP(POA!$B91,'Detalle Plan de Adquisiciones'!$G$6:$AF$66,23,0)</f>
        <v>41744</v>
      </c>
      <c r="EB91" s="859">
        <f>VLOOKUP(POA!$B91,'Detalle Plan de Adquisiciones'!$G$6:$AF$66,25,0)</f>
        <v>41897</v>
      </c>
      <c r="EC91" s="859">
        <f>EB91+30</f>
        <v>41927</v>
      </c>
      <c r="ED91" s="859" t="str">
        <f>CONCATENATE(MONTH(EA91),"-",YEAR(EA91))</f>
        <v>4-2014</v>
      </c>
      <c r="EE91" s="859" t="str">
        <f>CONCATENATE(MONTH(EB91),"-",YEAR(EB91))</f>
        <v>9-2014</v>
      </c>
      <c r="EF91" s="861" t="str">
        <f>CONCATENATE(MONTH(EC91),"-",YEAR(EC91))</f>
        <v>10-2014</v>
      </c>
      <c r="EG91" s="1105">
        <f>+YEAR(EA91)</f>
        <v>2014</v>
      </c>
      <c r="EH91" s="393">
        <f>+DY91</f>
        <v>2686696606</v>
      </c>
      <c r="EI91" s="858">
        <f>+DW91+DW92+DW93</f>
        <v>2686.696606</v>
      </c>
      <c r="EJ91" s="877">
        <f>+D91/1000000-EI91</f>
        <v>0</v>
      </c>
      <c r="EO91" s="362"/>
      <c r="ER91" s="497"/>
    </row>
    <row r="92" spans="1:148" s="278" customFormat="1" outlineLevel="2" x14ac:dyDescent="0.2">
      <c r="A92" s="893"/>
      <c r="B92" s="886"/>
      <c r="C92" s="903"/>
      <c r="D92" s="864"/>
      <c r="E92" s="867"/>
      <c r="F92" s="311" t="s">
        <v>210</v>
      </c>
      <c r="G92" s="363">
        <v>0</v>
      </c>
      <c r="H92" s="363">
        <v>0</v>
      </c>
      <c r="I92" s="363">
        <v>0</v>
      </c>
      <c r="J92" s="363">
        <v>0</v>
      </c>
      <c r="K92" s="363">
        <v>0</v>
      </c>
      <c r="L92" s="363">
        <v>0</v>
      </c>
      <c r="M92" s="363">
        <v>0</v>
      </c>
      <c r="N92" s="363">
        <v>0</v>
      </c>
      <c r="O92" s="363">
        <v>0</v>
      </c>
      <c r="P92" s="363">
        <v>0</v>
      </c>
      <c r="Q92" s="363">
        <v>0</v>
      </c>
      <c r="R92" s="363">
        <v>0</v>
      </c>
      <c r="S92" s="363">
        <v>0</v>
      </c>
      <c r="T92" s="363">
        <v>0</v>
      </c>
      <c r="U92" s="363">
        <v>0</v>
      </c>
      <c r="V92" s="363">
        <v>0</v>
      </c>
      <c r="W92" s="363">
        <v>0</v>
      </c>
      <c r="X92" s="363">
        <v>0</v>
      </c>
      <c r="Y92" s="363">
        <v>0</v>
      </c>
      <c r="Z92" s="363">
        <v>0</v>
      </c>
      <c r="AA92" s="363">
        <v>0</v>
      </c>
      <c r="AB92" s="363">
        <v>0</v>
      </c>
      <c r="AC92" s="363">
        <v>0</v>
      </c>
      <c r="AD92" s="363">
        <v>0</v>
      </c>
      <c r="AE92" s="363">
        <v>0</v>
      </c>
      <c r="AF92" s="363">
        <v>0</v>
      </c>
      <c r="AG92" s="363">
        <v>0</v>
      </c>
      <c r="AH92" s="363">
        <v>0</v>
      </c>
      <c r="AI92" s="363">
        <v>0</v>
      </c>
      <c r="AJ92" s="363">
        <v>0</v>
      </c>
      <c r="AK92" s="363">
        <v>0</v>
      </c>
      <c r="AL92" s="363">
        <v>0</v>
      </c>
      <c r="AM92" s="363">
        <v>0</v>
      </c>
      <c r="AN92" s="363">
        <v>0</v>
      </c>
      <c r="AO92" s="363">
        <v>0</v>
      </c>
      <c r="AP92" s="363">
        <v>0</v>
      </c>
      <c r="AQ92" s="363">
        <v>0</v>
      </c>
      <c r="AR92" s="363">
        <v>0</v>
      </c>
      <c r="AS92" s="363">
        <v>0</v>
      </c>
      <c r="AT92" s="363">
        <v>0</v>
      </c>
      <c r="AU92" s="363">
        <v>0</v>
      </c>
      <c r="AV92" s="363">
        <v>0</v>
      </c>
      <c r="AW92" s="363">
        <v>0</v>
      </c>
      <c r="AX92" s="363">
        <v>0</v>
      </c>
      <c r="AY92" s="363">
        <v>0</v>
      </c>
      <c r="AZ92" s="363">
        <v>0</v>
      </c>
      <c r="BA92" s="363">
        <v>0</v>
      </c>
      <c r="BB92" s="363">
        <v>0</v>
      </c>
      <c r="BC92" s="363">
        <v>0</v>
      </c>
      <c r="BD92" s="363">
        <v>0</v>
      </c>
      <c r="BE92" s="363">
        <v>0</v>
      </c>
      <c r="BF92" s="363">
        <v>0</v>
      </c>
      <c r="BG92" s="363">
        <v>0</v>
      </c>
      <c r="BH92" s="363">
        <v>0</v>
      </c>
      <c r="BI92" s="363">
        <v>225.519678</v>
      </c>
      <c r="BJ92" s="363">
        <v>0</v>
      </c>
      <c r="BK92" s="363">
        <v>0</v>
      </c>
      <c r="BL92" s="363">
        <v>0</v>
      </c>
      <c r="BM92" s="363">
        <v>459.75425100000001</v>
      </c>
      <c r="BN92" s="363">
        <v>0</v>
      </c>
      <c r="BO92" s="363">
        <v>0</v>
      </c>
      <c r="BP92" s="363">
        <v>0</v>
      </c>
      <c r="BQ92" s="363">
        <v>0</v>
      </c>
      <c r="BR92" s="363">
        <v>0</v>
      </c>
      <c r="BS92" s="363">
        <v>0</v>
      </c>
      <c r="BT92" s="363">
        <v>0</v>
      </c>
      <c r="BU92" s="363">
        <v>0</v>
      </c>
      <c r="BV92" s="363">
        <v>0</v>
      </c>
      <c r="BW92" s="363">
        <v>0</v>
      </c>
      <c r="BX92" s="363">
        <v>0</v>
      </c>
      <c r="BY92" s="363">
        <v>0</v>
      </c>
      <c r="BZ92" s="363">
        <v>0</v>
      </c>
      <c r="CA92" s="363">
        <v>0</v>
      </c>
      <c r="CB92" s="363">
        <v>0</v>
      </c>
      <c r="CC92" s="363">
        <v>0</v>
      </c>
      <c r="CD92" s="363">
        <v>0</v>
      </c>
      <c r="CE92" s="363">
        <v>0</v>
      </c>
      <c r="CF92" s="363">
        <v>0</v>
      </c>
      <c r="CG92" s="363">
        <v>0</v>
      </c>
      <c r="CH92" s="363">
        <v>0</v>
      </c>
      <c r="CI92" s="363">
        <v>0</v>
      </c>
      <c r="CJ92" s="363">
        <v>0</v>
      </c>
      <c r="CK92" s="363">
        <v>0</v>
      </c>
      <c r="CL92" s="363">
        <v>0</v>
      </c>
      <c r="CM92" s="363">
        <v>0</v>
      </c>
      <c r="CN92" s="363">
        <v>0</v>
      </c>
      <c r="CO92" s="363">
        <v>0</v>
      </c>
      <c r="CP92" s="363">
        <v>0</v>
      </c>
      <c r="CQ92" s="363">
        <v>0</v>
      </c>
      <c r="CR92" s="363">
        <v>0</v>
      </c>
      <c r="CS92" s="363">
        <v>0</v>
      </c>
      <c r="CT92" s="363">
        <v>0</v>
      </c>
      <c r="CU92" s="363">
        <v>0</v>
      </c>
      <c r="CV92" s="363">
        <v>0</v>
      </c>
      <c r="CW92" s="363">
        <v>0</v>
      </c>
      <c r="CX92" s="363">
        <v>0</v>
      </c>
      <c r="CY92" s="363"/>
      <c r="CZ92" s="363"/>
      <c r="DA92" s="363"/>
      <c r="DB92" s="363"/>
      <c r="DC92" s="363"/>
      <c r="DD92" s="363"/>
      <c r="DE92" s="363"/>
      <c r="DF92" s="363"/>
      <c r="DG92" s="363"/>
      <c r="DH92" s="363"/>
      <c r="DI92" s="363"/>
      <c r="DJ92" s="363"/>
      <c r="DK92" s="363"/>
      <c r="DL92" s="363"/>
      <c r="DM92" s="363"/>
      <c r="DN92" s="363"/>
      <c r="DO92" s="363"/>
      <c r="DP92" s="363"/>
      <c r="DQ92" s="363"/>
      <c r="DR92" s="363"/>
      <c r="DS92" s="363"/>
      <c r="DT92" s="363"/>
      <c r="DU92" s="363"/>
      <c r="DV92" s="363"/>
      <c r="DW92" s="678">
        <f t="shared" si="16"/>
        <v>685.27392899999995</v>
      </c>
      <c r="DX92" s="858"/>
      <c r="DY92" s="708"/>
      <c r="DZ92" s="871"/>
      <c r="EA92" s="873"/>
      <c r="EB92" s="859"/>
      <c r="EC92" s="859"/>
      <c r="ED92" s="859"/>
      <c r="EE92" s="859"/>
      <c r="EF92" s="861"/>
      <c r="EG92" s="1106"/>
      <c r="EI92" s="858"/>
      <c r="EJ92" s="877"/>
      <c r="EO92" s="419"/>
      <c r="ER92" s="497"/>
    </row>
    <row r="93" spans="1:148" s="278" customFormat="1" ht="10.5" customHeight="1" outlineLevel="2" thickBot="1" x14ac:dyDescent="0.25">
      <c r="A93" s="894"/>
      <c r="B93" s="887"/>
      <c r="C93" s="904"/>
      <c r="D93" s="865"/>
      <c r="E93" s="868"/>
      <c r="F93" s="315" t="s">
        <v>211</v>
      </c>
      <c r="G93" s="364">
        <v>0</v>
      </c>
      <c r="H93" s="364">
        <v>0</v>
      </c>
      <c r="I93" s="364">
        <v>0</v>
      </c>
      <c r="J93" s="364">
        <v>0</v>
      </c>
      <c r="K93" s="364">
        <v>0</v>
      </c>
      <c r="L93" s="364">
        <v>0</v>
      </c>
      <c r="M93" s="364">
        <v>0</v>
      </c>
      <c r="N93" s="364">
        <v>0</v>
      </c>
      <c r="O93" s="364">
        <v>0</v>
      </c>
      <c r="P93" s="364">
        <v>0</v>
      </c>
      <c r="Q93" s="364">
        <v>0</v>
      </c>
      <c r="R93" s="364">
        <v>0</v>
      </c>
      <c r="S93" s="364">
        <v>0</v>
      </c>
      <c r="T93" s="364">
        <v>0</v>
      </c>
      <c r="U93" s="364">
        <v>0</v>
      </c>
      <c r="V93" s="364">
        <v>0</v>
      </c>
      <c r="W93" s="364">
        <v>0</v>
      </c>
      <c r="X93" s="364">
        <v>0</v>
      </c>
      <c r="Y93" s="364">
        <v>0</v>
      </c>
      <c r="Z93" s="364">
        <v>0</v>
      </c>
      <c r="AA93" s="364">
        <v>0</v>
      </c>
      <c r="AB93" s="364">
        <v>0</v>
      </c>
      <c r="AC93" s="364">
        <v>0</v>
      </c>
      <c r="AD93" s="364">
        <v>0</v>
      </c>
      <c r="AE93" s="364">
        <v>0</v>
      </c>
      <c r="AF93" s="364">
        <v>0</v>
      </c>
      <c r="AG93" s="364">
        <v>0</v>
      </c>
      <c r="AH93" s="364">
        <v>0</v>
      </c>
      <c r="AI93" s="364">
        <v>0</v>
      </c>
      <c r="AJ93" s="364">
        <v>0</v>
      </c>
      <c r="AK93" s="364">
        <v>0</v>
      </c>
      <c r="AL93" s="364">
        <v>0</v>
      </c>
      <c r="AM93" s="364">
        <v>0</v>
      </c>
      <c r="AN93" s="364">
        <v>0</v>
      </c>
      <c r="AO93" s="364">
        <v>0</v>
      </c>
      <c r="AP93" s="364">
        <v>0</v>
      </c>
      <c r="AQ93" s="364">
        <v>0</v>
      </c>
      <c r="AR93" s="364">
        <v>0</v>
      </c>
      <c r="AS93" s="364">
        <v>0</v>
      </c>
      <c r="AT93" s="364">
        <v>0</v>
      </c>
      <c r="AU93" s="364">
        <v>0</v>
      </c>
      <c r="AV93" s="364">
        <v>0</v>
      </c>
      <c r="AW93" s="364">
        <v>0</v>
      </c>
      <c r="AX93" s="364">
        <v>0</v>
      </c>
      <c r="AY93" s="364">
        <v>0</v>
      </c>
      <c r="AZ93" s="364">
        <v>0</v>
      </c>
      <c r="BA93" s="364">
        <v>0</v>
      </c>
      <c r="BB93" s="364">
        <v>0</v>
      </c>
      <c r="BC93" s="364">
        <v>0</v>
      </c>
      <c r="BD93" s="364">
        <v>0</v>
      </c>
      <c r="BE93" s="364">
        <v>0</v>
      </c>
      <c r="BF93" s="364">
        <v>0</v>
      </c>
      <c r="BG93" s="364">
        <v>0</v>
      </c>
      <c r="BH93" s="364">
        <v>0</v>
      </c>
      <c r="BI93" s="364">
        <v>0</v>
      </c>
      <c r="BJ93" s="364">
        <v>0</v>
      </c>
      <c r="BK93" s="364">
        <v>0</v>
      </c>
      <c r="BL93" s="364">
        <v>0</v>
      </c>
      <c r="BM93" s="364">
        <v>0</v>
      </c>
      <c r="BN93" s="364">
        <v>0</v>
      </c>
      <c r="BO93" s="364">
        <v>0</v>
      </c>
      <c r="BP93" s="364">
        <v>0</v>
      </c>
      <c r="BQ93" s="364">
        <v>0</v>
      </c>
      <c r="BR93" s="364">
        <v>0</v>
      </c>
      <c r="BS93" s="364">
        <v>0</v>
      </c>
      <c r="BT93" s="364">
        <v>0</v>
      </c>
      <c r="BU93" s="364">
        <v>0</v>
      </c>
      <c r="BV93" s="364">
        <v>0</v>
      </c>
      <c r="BW93" s="364">
        <v>0</v>
      </c>
      <c r="BX93" s="364">
        <v>0</v>
      </c>
      <c r="BY93" s="364">
        <v>0</v>
      </c>
      <c r="BZ93" s="364">
        <v>0</v>
      </c>
      <c r="CA93" s="364">
        <v>0</v>
      </c>
      <c r="CB93" s="364">
        <v>0</v>
      </c>
      <c r="CC93" s="364">
        <v>0</v>
      </c>
      <c r="CD93" s="364">
        <v>0</v>
      </c>
      <c r="CE93" s="364">
        <v>0</v>
      </c>
      <c r="CF93" s="364">
        <v>0</v>
      </c>
      <c r="CG93" s="364">
        <v>0</v>
      </c>
      <c r="CH93" s="364">
        <v>0</v>
      </c>
      <c r="CI93" s="364">
        <v>0</v>
      </c>
      <c r="CJ93" s="364">
        <v>0</v>
      </c>
      <c r="CK93" s="364">
        <v>0</v>
      </c>
      <c r="CL93" s="364">
        <v>0</v>
      </c>
      <c r="CM93" s="364">
        <v>0</v>
      </c>
      <c r="CN93" s="364">
        <v>0</v>
      </c>
      <c r="CO93" s="364">
        <v>0</v>
      </c>
      <c r="CP93" s="364">
        <v>0</v>
      </c>
      <c r="CQ93" s="364">
        <v>0</v>
      </c>
      <c r="CR93" s="364">
        <v>0</v>
      </c>
      <c r="CS93" s="364">
        <v>0</v>
      </c>
      <c r="CT93" s="364">
        <v>0</v>
      </c>
      <c r="CU93" s="364">
        <v>0</v>
      </c>
      <c r="CV93" s="364">
        <v>0</v>
      </c>
      <c r="CW93" s="364">
        <v>0</v>
      </c>
      <c r="CX93" s="364">
        <v>0</v>
      </c>
      <c r="CY93" s="364"/>
      <c r="CZ93" s="364"/>
      <c r="DA93" s="364"/>
      <c r="DB93" s="364"/>
      <c r="DC93" s="364"/>
      <c r="DD93" s="364"/>
      <c r="DE93" s="364"/>
      <c r="DF93" s="364"/>
      <c r="DG93" s="364"/>
      <c r="DH93" s="364"/>
      <c r="DI93" s="364"/>
      <c r="DJ93" s="364"/>
      <c r="DK93" s="364"/>
      <c r="DL93" s="364"/>
      <c r="DM93" s="364"/>
      <c r="DN93" s="364"/>
      <c r="DO93" s="364"/>
      <c r="DP93" s="364"/>
      <c r="DQ93" s="364"/>
      <c r="DR93" s="364"/>
      <c r="DS93" s="364"/>
      <c r="DT93" s="364"/>
      <c r="DU93" s="364"/>
      <c r="DV93" s="364"/>
      <c r="DW93" s="649">
        <f t="shared" si="16"/>
        <v>0</v>
      </c>
      <c r="DX93" s="858"/>
      <c r="DY93" s="709"/>
      <c r="DZ93" s="872"/>
      <c r="EA93" s="873"/>
      <c r="EB93" s="859"/>
      <c r="EC93" s="859"/>
      <c r="ED93" s="859"/>
      <c r="EE93" s="859"/>
      <c r="EF93" s="861"/>
      <c r="EG93" s="1107"/>
      <c r="EI93" s="858"/>
      <c r="EJ93" s="877"/>
      <c r="ER93" s="497"/>
    </row>
    <row r="94" spans="1:148" s="278" customFormat="1" ht="13.5" customHeight="1" outlineLevel="2" x14ac:dyDescent="0.2">
      <c r="A94" s="892" t="s">
        <v>385</v>
      </c>
      <c r="B94" s="897" t="s">
        <v>352</v>
      </c>
      <c r="C94" s="902">
        <v>8</v>
      </c>
      <c r="D94" s="863">
        <f>+IFERROR(VLOOKUP(B94,'Detalle Plan de Adquisiciones'!$G$6:$M$66,7,FALSE),0)</f>
        <v>4724545716</v>
      </c>
      <c r="E94" s="866" t="str">
        <f>+'Detalle Plan de Adquisiciones'!F22</f>
        <v>PRIMERA ETAPA PARA LA CONSTRUCCIÓN DEL PAVIMENTO RÍGIDO, ANDENES Y ESPACIO PUBLICO DE LA CARRERA 2 ENTRE AVENIDA CIRCUNVALAR Y CALLE 31, ID (204-205-206). PERTENECIENTE AL SISTEMA ESTRATÉGICO DE TRANSPORTE PUBLICO DE PASAJEROS "SETP" DE LA CIUDAD DE MONTERÍA.</v>
      </c>
      <c r="F94" s="312" t="s">
        <v>410</v>
      </c>
      <c r="G94" s="354">
        <v>0</v>
      </c>
      <c r="H94" s="354">
        <v>0</v>
      </c>
      <c r="I94" s="354">
        <v>0</v>
      </c>
      <c r="J94" s="354">
        <v>0</v>
      </c>
      <c r="K94" s="354">
        <v>0</v>
      </c>
      <c r="L94" s="354">
        <v>0</v>
      </c>
      <c r="M94" s="354">
        <v>0</v>
      </c>
      <c r="N94" s="354">
        <v>0</v>
      </c>
      <c r="O94" s="354">
        <v>0</v>
      </c>
      <c r="P94" s="354">
        <v>0</v>
      </c>
      <c r="Q94" s="354">
        <v>0</v>
      </c>
      <c r="R94" s="354">
        <v>0</v>
      </c>
      <c r="S94" s="354">
        <v>0</v>
      </c>
      <c r="T94" s="354">
        <v>0</v>
      </c>
      <c r="U94" s="354">
        <v>0</v>
      </c>
      <c r="V94" s="354">
        <v>0</v>
      </c>
      <c r="W94" s="354">
        <v>0</v>
      </c>
      <c r="X94" s="354">
        <v>0</v>
      </c>
      <c r="Y94" s="354">
        <v>0</v>
      </c>
      <c r="Z94" s="354">
        <v>0</v>
      </c>
      <c r="AA94" s="354">
        <v>0</v>
      </c>
      <c r="AB94" s="354">
        <v>0</v>
      </c>
      <c r="AC94" s="354">
        <v>0</v>
      </c>
      <c r="AD94" s="354">
        <v>0</v>
      </c>
      <c r="AE94" s="354">
        <v>0</v>
      </c>
      <c r="AF94" s="354">
        <v>0</v>
      </c>
      <c r="AG94" s="354">
        <v>0</v>
      </c>
      <c r="AH94" s="354">
        <v>0</v>
      </c>
      <c r="AI94" s="354">
        <v>0</v>
      </c>
      <c r="AJ94" s="354">
        <v>0</v>
      </c>
      <c r="AK94" s="354">
        <v>0</v>
      </c>
      <c r="AL94" s="354">
        <v>0</v>
      </c>
      <c r="AM94" s="354">
        <v>0</v>
      </c>
      <c r="AN94" s="354">
        <v>0</v>
      </c>
      <c r="AO94" s="354">
        <v>0</v>
      </c>
      <c r="AP94" s="354">
        <v>0</v>
      </c>
      <c r="AQ94" s="354">
        <v>0</v>
      </c>
      <c r="AR94" s="354">
        <v>0</v>
      </c>
      <c r="AS94" s="354">
        <v>0</v>
      </c>
      <c r="AT94" s="354">
        <v>0</v>
      </c>
      <c r="AU94" s="354">
        <v>0</v>
      </c>
      <c r="AV94" s="354">
        <v>0</v>
      </c>
      <c r="AW94" s="354">
        <v>0</v>
      </c>
      <c r="AX94" s="354">
        <v>0</v>
      </c>
      <c r="AY94" s="354">
        <v>0</v>
      </c>
      <c r="AZ94" s="354">
        <v>0</v>
      </c>
      <c r="BA94" s="354">
        <v>0</v>
      </c>
      <c r="BB94" s="354">
        <v>0</v>
      </c>
      <c r="BC94" s="354">
        <v>0</v>
      </c>
      <c r="BD94" s="354">
        <v>0</v>
      </c>
      <c r="BE94" s="354">
        <v>0</v>
      </c>
      <c r="BF94" s="354">
        <v>0</v>
      </c>
      <c r="BG94" s="354">
        <v>0</v>
      </c>
      <c r="BH94" s="354">
        <v>0</v>
      </c>
      <c r="BI94" s="354">
        <v>0</v>
      </c>
      <c r="BJ94" s="354">
        <v>0</v>
      </c>
      <c r="BK94" s="354">
        <v>0</v>
      </c>
      <c r="BL94" s="354">
        <v>0</v>
      </c>
      <c r="BM94" s="354">
        <v>0</v>
      </c>
      <c r="BN94" s="354">
        <v>0</v>
      </c>
      <c r="BO94" s="354">
        <v>0</v>
      </c>
      <c r="BP94" s="354">
        <v>0</v>
      </c>
      <c r="BQ94" s="354">
        <v>0</v>
      </c>
      <c r="BR94" s="354">
        <v>0</v>
      </c>
      <c r="BS94" s="354">
        <v>0</v>
      </c>
      <c r="BT94" s="354">
        <v>0</v>
      </c>
      <c r="BU94" s="354">
        <v>0</v>
      </c>
      <c r="BV94" s="354">
        <v>0</v>
      </c>
      <c r="BW94" s="354">
        <v>0</v>
      </c>
      <c r="BX94" s="354">
        <v>0</v>
      </c>
      <c r="BY94" s="354">
        <v>0</v>
      </c>
      <c r="BZ94" s="354">
        <v>472.45457199999998</v>
      </c>
      <c r="CA94" s="354">
        <v>0</v>
      </c>
      <c r="CB94" s="354">
        <v>638.85336700000005</v>
      </c>
      <c r="CC94" s="354">
        <v>0</v>
      </c>
      <c r="CD94" s="354">
        <v>789.09184100000004</v>
      </c>
      <c r="CE94" s="354">
        <v>581.48883599999999</v>
      </c>
      <c r="CF94" s="354">
        <v>0</v>
      </c>
      <c r="CG94" s="354">
        <v>523.64703399999996</v>
      </c>
      <c r="CH94" s="354">
        <v>680.08222499999999</v>
      </c>
      <c r="CI94" s="354">
        <v>0</v>
      </c>
      <c r="CJ94" s="354">
        <v>0</v>
      </c>
      <c r="CK94" s="354">
        <v>1038.9278409999999</v>
      </c>
      <c r="CL94" s="354">
        <v>0</v>
      </c>
      <c r="CM94" s="354">
        <v>0</v>
      </c>
      <c r="CN94" s="354">
        <v>0</v>
      </c>
      <c r="CO94" s="354">
        <v>0</v>
      </c>
      <c r="CP94" s="354">
        <v>0</v>
      </c>
      <c r="CQ94" s="354">
        <v>0</v>
      </c>
      <c r="CR94" s="354">
        <v>0</v>
      </c>
      <c r="CS94" s="354">
        <v>0</v>
      </c>
      <c r="CT94" s="354">
        <v>0</v>
      </c>
      <c r="CU94" s="354">
        <v>0</v>
      </c>
      <c r="CV94" s="354">
        <v>0</v>
      </c>
      <c r="CW94" s="354">
        <v>0</v>
      </c>
      <c r="CX94" s="354">
        <v>0</v>
      </c>
      <c r="CY94" s="354">
        <v>0</v>
      </c>
      <c r="CZ94" s="354">
        <v>0</v>
      </c>
      <c r="DA94" s="354">
        <v>0</v>
      </c>
      <c r="DB94" s="354">
        <v>0</v>
      </c>
      <c r="DC94" s="354">
        <v>0</v>
      </c>
      <c r="DD94" s="354">
        <v>0</v>
      </c>
      <c r="DE94" s="354">
        <v>0</v>
      </c>
      <c r="DF94" s="354">
        <v>0</v>
      </c>
      <c r="DG94" s="354">
        <v>0</v>
      </c>
      <c r="DH94" s="354">
        <v>0</v>
      </c>
      <c r="DI94" s="354">
        <v>0</v>
      </c>
      <c r="DJ94" s="354">
        <v>0</v>
      </c>
      <c r="DK94" s="354"/>
      <c r="DL94" s="354"/>
      <c r="DM94" s="354"/>
      <c r="DN94" s="354"/>
      <c r="DO94" s="354"/>
      <c r="DP94" s="354"/>
      <c r="DQ94" s="354"/>
      <c r="DR94" s="354"/>
      <c r="DS94" s="354"/>
      <c r="DT94" s="354"/>
      <c r="DU94" s="354"/>
      <c r="DV94" s="354"/>
      <c r="DW94" s="543">
        <f t="shared" si="16"/>
        <v>4724.5457160000005</v>
      </c>
      <c r="DX94" s="858">
        <f>DW94+DW95+DW96</f>
        <v>4724.5457160000005</v>
      </c>
      <c r="DY94" s="704">
        <f>+DX94*1000000</f>
        <v>4724545716.000001</v>
      </c>
      <c r="DZ94" s="870">
        <f>+DY94-D94</f>
        <v>0</v>
      </c>
      <c r="EA94" s="873">
        <f>VLOOKUP(POA!$B94,'Detalle Plan de Adquisiciones'!$G$6:$AF$66,23,0)</f>
        <v>42292</v>
      </c>
      <c r="EB94" s="859">
        <f>VLOOKUP(POA!$B94,'Detalle Plan de Adquisiciones'!$G$6:$AF$66,25,0)</f>
        <v>42536</v>
      </c>
      <c r="EC94" s="859">
        <f>EB94+30</f>
        <v>42566</v>
      </c>
      <c r="ED94" s="859" t="str">
        <f>CONCATENATE(MONTH(EA94),"-",YEAR(EA94))</f>
        <v>10-2015</v>
      </c>
      <c r="EE94" s="859" t="str">
        <f>CONCATENATE(MONTH(EB94),"-",YEAR(EB94))</f>
        <v>6-2016</v>
      </c>
      <c r="EF94" s="861" t="str">
        <f>CONCATENATE(MONTH(EC94),"-",YEAR(EC94))</f>
        <v>7-2016</v>
      </c>
      <c r="EG94" s="1105">
        <f>+YEAR(EA94)</f>
        <v>2015</v>
      </c>
      <c r="EH94" s="393">
        <f>+DY94</f>
        <v>4724545716.000001</v>
      </c>
      <c r="EI94" s="858">
        <f>+DW94+DW95+DW96</f>
        <v>4724.5457160000005</v>
      </c>
      <c r="EJ94" s="877">
        <f>+D94/1000000-EI94</f>
        <v>0</v>
      </c>
      <c r="ER94" s="497"/>
    </row>
    <row r="95" spans="1:148" s="278" customFormat="1" outlineLevel="2" x14ac:dyDescent="0.2">
      <c r="A95" s="893"/>
      <c r="B95" s="886"/>
      <c r="C95" s="903"/>
      <c r="D95" s="864"/>
      <c r="E95" s="867"/>
      <c r="F95" s="311" t="s">
        <v>210</v>
      </c>
      <c r="G95" s="363">
        <v>0</v>
      </c>
      <c r="H95" s="363">
        <v>0</v>
      </c>
      <c r="I95" s="363">
        <v>0</v>
      </c>
      <c r="J95" s="363">
        <v>0</v>
      </c>
      <c r="K95" s="363">
        <v>0</v>
      </c>
      <c r="L95" s="363">
        <v>0</v>
      </c>
      <c r="M95" s="363">
        <v>0</v>
      </c>
      <c r="N95" s="363">
        <v>0</v>
      </c>
      <c r="O95" s="363">
        <v>0</v>
      </c>
      <c r="P95" s="363">
        <v>0</v>
      </c>
      <c r="Q95" s="363">
        <v>0</v>
      </c>
      <c r="R95" s="363">
        <v>0</v>
      </c>
      <c r="S95" s="363">
        <v>0</v>
      </c>
      <c r="T95" s="363">
        <v>0</v>
      </c>
      <c r="U95" s="363">
        <v>0</v>
      </c>
      <c r="V95" s="363">
        <v>0</v>
      </c>
      <c r="W95" s="363">
        <v>0</v>
      </c>
      <c r="X95" s="363">
        <v>0</v>
      </c>
      <c r="Y95" s="363">
        <v>0</v>
      </c>
      <c r="Z95" s="363">
        <v>0</v>
      </c>
      <c r="AA95" s="363">
        <v>0</v>
      </c>
      <c r="AB95" s="363">
        <v>0</v>
      </c>
      <c r="AC95" s="363">
        <v>0</v>
      </c>
      <c r="AD95" s="363">
        <v>0</v>
      </c>
      <c r="AE95" s="363">
        <v>0</v>
      </c>
      <c r="AF95" s="363">
        <v>0</v>
      </c>
      <c r="AG95" s="363">
        <v>0</v>
      </c>
      <c r="AH95" s="363">
        <v>0</v>
      </c>
      <c r="AI95" s="363">
        <v>0</v>
      </c>
      <c r="AJ95" s="363">
        <v>0</v>
      </c>
      <c r="AK95" s="363">
        <v>0</v>
      </c>
      <c r="AL95" s="363">
        <v>0</v>
      </c>
      <c r="AM95" s="363">
        <v>0</v>
      </c>
      <c r="AN95" s="363">
        <v>0</v>
      </c>
      <c r="AO95" s="363">
        <v>0</v>
      </c>
      <c r="AP95" s="363">
        <v>0</v>
      </c>
      <c r="AQ95" s="363">
        <v>0</v>
      </c>
      <c r="AR95" s="363">
        <v>0</v>
      </c>
      <c r="AS95" s="363">
        <v>0</v>
      </c>
      <c r="AT95" s="363">
        <v>0</v>
      </c>
      <c r="AU95" s="363">
        <v>0</v>
      </c>
      <c r="AV95" s="363">
        <v>0</v>
      </c>
      <c r="AW95" s="363">
        <v>0</v>
      </c>
      <c r="AX95" s="363">
        <v>0</v>
      </c>
      <c r="AY95" s="363">
        <v>0</v>
      </c>
      <c r="AZ95" s="363">
        <v>0</v>
      </c>
      <c r="BA95" s="363">
        <v>0</v>
      </c>
      <c r="BB95" s="363">
        <v>0</v>
      </c>
      <c r="BC95" s="363">
        <v>0</v>
      </c>
      <c r="BD95" s="363">
        <v>0</v>
      </c>
      <c r="BE95" s="363">
        <v>0</v>
      </c>
      <c r="BF95" s="363">
        <v>0</v>
      </c>
      <c r="BG95" s="363">
        <v>0</v>
      </c>
      <c r="BH95" s="363">
        <v>0</v>
      </c>
      <c r="BI95" s="363">
        <v>0</v>
      </c>
      <c r="BJ95" s="363">
        <v>0</v>
      </c>
      <c r="BK95" s="363">
        <v>0</v>
      </c>
      <c r="BL95" s="363">
        <v>0</v>
      </c>
      <c r="BM95" s="363">
        <v>0</v>
      </c>
      <c r="BN95" s="363">
        <v>0</v>
      </c>
      <c r="BO95" s="363">
        <v>0</v>
      </c>
      <c r="BP95" s="363">
        <v>0</v>
      </c>
      <c r="BQ95" s="363">
        <v>0</v>
      </c>
      <c r="BR95" s="363">
        <v>0</v>
      </c>
      <c r="BS95" s="363">
        <v>0</v>
      </c>
      <c r="BT95" s="363">
        <v>0</v>
      </c>
      <c r="BU95" s="363">
        <v>0</v>
      </c>
      <c r="BV95" s="363">
        <v>0</v>
      </c>
      <c r="BW95" s="363">
        <v>0</v>
      </c>
      <c r="BX95" s="363">
        <v>0</v>
      </c>
      <c r="BY95" s="363">
        <v>0</v>
      </c>
      <c r="BZ95" s="363">
        <v>0</v>
      </c>
      <c r="CA95" s="363">
        <v>0</v>
      </c>
      <c r="CB95" s="363">
        <v>0</v>
      </c>
      <c r="CC95" s="363">
        <v>0</v>
      </c>
      <c r="CD95" s="363">
        <v>0</v>
      </c>
      <c r="CE95" s="363">
        <v>0</v>
      </c>
      <c r="CF95" s="363">
        <v>0</v>
      </c>
      <c r="CG95" s="363">
        <v>0</v>
      </c>
      <c r="CH95" s="363">
        <v>0</v>
      </c>
      <c r="CI95" s="363">
        <v>0</v>
      </c>
      <c r="CJ95" s="363">
        <v>0</v>
      </c>
      <c r="CK95" s="363">
        <v>0</v>
      </c>
      <c r="CL95" s="363">
        <v>0</v>
      </c>
      <c r="CM95" s="363">
        <v>0</v>
      </c>
      <c r="CN95" s="363">
        <v>0</v>
      </c>
      <c r="CO95" s="363">
        <v>0</v>
      </c>
      <c r="CP95" s="363">
        <v>0</v>
      </c>
      <c r="CQ95" s="363">
        <v>0</v>
      </c>
      <c r="CR95" s="363">
        <v>0</v>
      </c>
      <c r="CS95" s="363">
        <v>0</v>
      </c>
      <c r="CT95" s="363">
        <v>0</v>
      </c>
      <c r="CU95" s="363">
        <v>0</v>
      </c>
      <c r="CV95" s="363">
        <v>0</v>
      </c>
      <c r="CW95" s="363">
        <v>0</v>
      </c>
      <c r="CX95" s="363">
        <v>0</v>
      </c>
      <c r="CY95" s="363">
        <v>0</v>
      </c>
      <c r="CZ95" s="363">
        <v>0</v>
      </c>
      <c r="DA95" s="363">
        <v>0</v>
      </c>
      <c r="DB95" s="363">
        <v>0</v>
      </c>
      <c r="DC95" s="363">
        <v>0</v>
      </c>
      <c r="DD95" s="363">
        <v>0</v>
      </c>
      <c r="DE95" s="363">
        <v>0</v>
      </c>
      <c r="DF95" s="363">
        <v>0</v>
      </c>
      <c r="DG95" s="363">
        <v>0</v>
      </c>
      <c r="DH95" s="363">
        <v>0</v>
      </c>
      <c r="DI95" s="363">
        <v>0</v>
      </c>
      <c r="DJ95" s="363">
        <v>0</v>
      </c>
      <c r="DK95" s="363"/>
      <c r="DL95" s="363"/>
      <c r="DM95" s="363"/>
      <c r="DN95" s="363"/>
      <c r="DO95" s="363"/>
      <c r="DP95" s="363"/>
      <c r="DQ95" s="363"/>
      <c r="DR95" s="363"/>
      <c r="DS95" s="363"/>
      <c r="DT95" s="363"/>
      <c r="DU95" s="363"/>
      <c r="DV95" s="363"/>
      <c r="DW95" s="544">
        <f t="shared" si="16"/>
        <v>0</v>
      </c>
      <c r="DX95" s="858"/>
      <c r="DY95" s="705"/>
      <c r="DZ95" s="871"/>
      <c r="EA95" s="873"/>
      <c r="EB95" s="859"/>
      <c r="EC95" s="859"/>
      <c r="ED95" s="859"/>
      <c r="EE95" s="859"/>
      <c r="EF95" s="861"/>
      <c r="EG95" s="1106"/>
      <c r="EI95" s="858"/>
      <c r="EJ95" s="877"/>
      <c r="ER95" s="497"/>
    </row>
    <row r="96" spans="1:148" s="278" customFormat="1" ht="33" customHeight="1" outlineLevel="2" thickBot="1" x14ac:dyDescent="0.25">
      <c r="A96" s="894"/>
      <c r="B96" s="887"/>
      <c r="C96" s="904"/>
      <c r="D96" s="865"/>
      <c r="E96" s="868"/>
      <c r="F96" s="315" t="s">
        <v>211</v>
      </c>
      <c r="G96" s="364">
        <v>0</v>
      </c>
      <c r="H96" s="364">
        <v>0</v>
      </c>
      <c r="I96" s="364">
        <v>0</v>
      </c>
      <c r="J96" s="364">
        <v>0</v>
      </c>
      <c r="K96" s="364">
        <v>0</v>
      </c>
      <c r="L96" s="364">
        <v>0</v>
      </c>
      <c r="M96" s="364">
        <v>0</v>
      </c>
      <c r="N96" s="364">
        <v>0</v>
      </c>
      <c r="O96" s="364">
        <v>0</v>
      </c>
      <c r="P96" s="364">
        <v>0</v>
      </c>
      <c r="Q96" s="364">
        <v>0</v>
      </c>
      <c r="R96" s="364">
        <v>0</v>
      </c>
      <c r="S96" s="364">
        <v>0</v>
      </c>
      <c r="T96" s="364">
        <v>0</v>
      </c>
      <c r="U96" s="364">
        <v>0</v>
      </c>
      <c r="V96" s="364">
        <v>0</v>
      </c>
      <c r="W96" s="364">
        <v>0</v>
      </c>
      <c r="X96" s="364">
        <v>0</v>
      </c>
      <c r="Y96" s="364">
        <v>0</v>
      </c>
      <c r="Z96" s="364">
        <v>0</v>
      </c>
      <c r="AA96" s="364">
        <v>0</v>
      </c>
      <c r="AB96" s="364">
        <v>0</v>
      </c>
      <c r="AC96" s="364">
        <v>0</v>
      </c>
      <c r="AD96" s="364">
        <v>0</v>
      </c>
      <c r="AE96" s="364">
        <v>0</v>
      </c>
      <c r="AF96" s="364">
        <v>0</v>
      </c>
      <c r="AG96" s="364">
        <v>0</v>
      </c>
      <c r="AH96" s="364">
        <v>0</v>
      </c>
      <c r="AI96" s="364">
        <v>0</v>
      </c>
      <c r="AJ96" s="364">
        <v>0</v>
      </c>
      <c r="AK96" s="364">
        <v>0</v>
      </c>
      <c r="AL96" s="364">
        <v>0</v>
      </c>
      <c r="AM96" s="364">
        <v>0</v>
      </c>
      <c r="AN96" s="364">
        <v>0</v>
      </c>
      <c r="AO96" s="364">
        <v>0</v>
      </c>
      <c r="AP96" s="364">
        <v>0</v>
      </c>
      <c r="AQ96" s="364">
        <v>0</v>
      </c>
      <c r="AR96" s="364">
        <v>0</v>
      </c>
      <c r="AS96" s="364">
        <v>0</v>
      </c>
      <c r="AT96" s="364">
        <v>0</v>
      </c>
      <c r="AU96" s="364">
        <v>0</v>
      </c>
      <c r="AV96" s="364">
        <v>0</v>
      </c>
      <c r="AW96" s="364">
        <v>0</v>
      </c>
      <c r="AX96" s="364">
        <v>0</v>
      </c>
      <c r="AY96" s="364">
        <v>0</v>
      </c>
      <c r="AZ96" s="364">
        <v>0</v>
      </c>
      <c r="BA96" s="364">
        <v>0</v>
      </c>
      <c r="BB96" s="364">
        <v>0</v>
      </c>
      <c r="BC96" s="364">
        <v>0</v>
      </c>
      <c r="BD96" s="364">
        <v>0</v>
      </c>
      <c r="BE96" s="364">
        <v>0</v>
      </c>
      <c r="BF96" s="364">
        <v>0</v>
      </c>
      <c r="BG96" s="364">
        <v>0</v>
      </c>
      <c r="BH96" s="364">
        <v>0</v>
      </c>
      <c r="BI96" s="364">
        <v>0</v>
      </c>
      <c r="BJ96" s="364">
        <v>0</v>
      </c>
      <c r="BK96" s="364">
        <v>0</v>
      </c>
      <c r="BL96" s="364">
        <v>0</v>
      </c>
      <c r="BM96" s="364">
        <v>0</v>
      </c>
      <c r="BN96" s="364">
        <v>0</v>
      </c>
      <c r="BO96" s="364">
        <v>0</v>
      </c>
      <c r="BP96" s="364">
        <v>0</v>
      </c>
      <c r="BQ96" s="364">
        <v>0</v>
      </c>
      <c r="BR96" s="364">
        <v>0</v>
      </c>
      <c r="BS96" s="364">
        <v>0</v>
      </c>
      <c r="BT96" s="364">
        <v>0</v>
      </c>
      <c r="BU96" s="364">
        <v>0</v>
      </c>
      <c r="BV96" s="364">
        <v>0</v>
      </c>
      <c r="BW96" s="364">
        <v>0</v>
      </c>
      <c r="BX96" s="364">
        <v>0</v>
      </c>
      <c r="BY96" s="364">
        <v>0</v>
      </c>
      <c r="BZ96" s="364">
        <v>0</v>
      </c>
      <c r="CA96" s="364">
        <v>0</v>
      </c>
      <c r="CB96" s="364">
        <v>0</v>
      </c>
      <c r="CC96" s="364">
        <v>0</v>
      </c>
      <c r="CD96" s="364">
        <v>0</v>
      </c>
      <c r="CE96" s="364">
        <v>0</v>
      </c>
      <c r="CF96" s="364">
        <v>0</v>
      </c>
      <c r="CG96" s="364">
        <v>0</v>
      </c>
      <c r="CH96" s="364">
        <v>0</v>
      </c>
      <c r="CI96" s="364">
        <v>0</v>
      </c>
      <c r="CJ96" s="364">
        <v>0</v>
      </c>
      <c r="CK96" s="364">
        <v>0</v>
      </c>
      <c r="CL96" s="364">
        <v>0</v>
      </c>
      <c r="CM96" s="364">
        <v>0</v>
      </c>
      <c r="CN96" s="364">
        <v>0</v>
      </c>
      <c r="CO96" s="364">
        <v>0</v>
      </c>
      <c r="CP96" s="364">
        <v>0</v>
      </c>
      <c r="CQ96" s="364">
        <v>0</v>
      </c>
      <c r="CR96" s="364">
        <v>0</v>
      </c>
      <c r="CS96" s="364">
        <v>0</v>
      </c>
      <c r="CT96" s="364">
        <v>0</v>
      </c>
      <c r="CU96" s="364">
        <v>0</v>
      </c>
      <c r="CV96" s="364">
        <v>0</v>
      </c>
      <c r="CW96" s="364">
        <v>0</v>
      </c>
      <c r="CX96" s="364">
        <v>0</v>
      </c>
      <c r="CY96" s="364">
        <v>0</v>
      </c>
      <c r="CZ96" s="364">
        <v>0</v>
      </c>
      <c r="DA96" s="364">
        <v>0</v>
      </c>
      <c r="DB96" s="364">
        <v>0</v>
      </c>
      <c r="DC96" s="364">
        <v>0</v>
      </c>
      <c r="DD96" s="364">
        <v>0</v>
      </c>
      <c r="DE96" s="364">
        <v>0</v>
      </c>
      <c r="DF96" s="364">
        <v>0</v>
      </c>
      <c r="DG96" s="364">
        <v>0</v>
      </c>
      <c r="DH96" s="364">
        <v>0</v>
      </c>
      <c r="DI96" s="364">
        <v>0</v>
      </c>
      <c r="DJ96" s="364">
        <v>0</v>
      </c>
      <c r="DK96" s="364"/>
      <c r="DL96" s="364"/>
      <c r="DM96" s="364"/>
      <c r="DN96" s="364"/>
      <c r="DO96" s="364"/>
      <c r="DP96" s="364"/>
      <c r="DQ96" s="364"/>
      <c r="DR96" s="364"/>
      <c r="DS96" s="364"/>
      <c r="DT96" s="364"/>
      <c r="DU96" s="364"/>
      <c r="DV96" s="364"/>
      <c r="DW96" s="649">
        <f t="shared" si="16"/>
        <v>0</v>
      </c>
      <c r="DX96" s="858"/>
      <c r="DY96" s="706"/>
      <c r="DZ96" s="872"/>
      <c r="EA96" s="873"/>
      <c r="EB96" s="859"/>
      <c r="EC96" s="859"/>
      <c r="ED96" s="859"/>
      <c r="EE96" s="859"/>
      <c r="EF96" s="861"/>
      <c r="EG96" s="1107"/>
      <c r="EI96" s="858"/>
      <c r="EJ96" s="877"/>
      <c r="ER96" s="497"/>
    </row>
    <row r="97" spans="1:150" s="278" customFormat="1" ht="24" outlineLevel="2" x14ac:dyDescent="0.2">
      <c r="A97" s="892" t="s">
        <v>555</v>
      </c>
      <c r="B97" s="897" t="s">
        <v>189</v>
      </c>
      <c r="C97" s="902">
        <v>8</v>
      </c>
      <c r="D97" s="863">
        <f>+'Detalle Plan de Adquisiciones'!M32</f>
        <v>3823754157</v>
      </c>
      <c r="E97" s="866" t="str">
        <f>+'[12]Detalle Plan de Adquisiciones'!F30</f>
        <v>CONSTRUCCIÓN DEL INTERCAMBIADOR VIAL SUR 1 [IV 5]. PERTENECIENTE AL SISTEMA ESTRATÉGICO DE TRANSPORTE PUBLICO DE PASAJEROS "SETP" DE LA CIUDAD DE MONTERÍA.</v>
      </c>
      <c r="F97" s="312" t="s">
        <v>410</v>
      </c>
      <c r="G97" s="354">
        <v>0</v>
      </c>
      <c r="H97" s="354">
        <v>0</v>
      </c>
      <c r="I97" s="354">
        <v>0</v>
      </c>
      <c r="J97" s="354">
        <v>0</v>
      </c>
      <c r="K97" s="354">
        <v>0</v>
      </c>
      <c r="L97" s="354">
        <v>0</v>
      </c>
      <c r="M97" s="354">
        <v>0</v>
      </c>
      <c r="N97" s="354">
        <v>0</v>
      </c>
      <c r="O97" s="354">
        <v>0</v>
      </c>
      <c r="P97" s="354">
        <v>0</v>
      </c>
      <c r="Q97" s="354">
        <v>0</v>
      </c>
      <c r="R97" s="354">
        <v>0</v>
      </c>
      <c r="S97" s="354">
        <v>0</v>
      </c>
      <c r="T97" s="354">
        <v>0</v>
      </c>
      <c r="U97" s="354">
        <v>0</v>
      </c>
      <c r="V97" s="354">
        <v>0</v>
      </c>
      <c r="W97" s="354">
        <v>0</v>
      </c>
      <c r="X97" s="354">
        <v>0</v>
      </c>
      <c r="Y97" s="354">
        <v>0</v>
      </c>
      <c r="Z97" s="354">
        <v>0</v>
      </c>
      <c r="AA97" s="354">
        <v>0</v>
      </c>
      <c r="AB97" s="354">
        <v>0</v>
      </c>
      <c r="AC97" s="354">
        <v>0</v>
      </c>
      <c r="AD97" s="354">
        <v>0</v>
      </c>
      <c r="AE97" s="354">
        <v>0</v>
      </c>
      <c r="AF97" s="354">
        <v>0</v>
      </c>
      <c r="AG97" s="354">
        <v>0</v>
      </c>
      <c r="AH97" s="354">
        <v>0</v>
      </c>
      <c r="AI97" s="354">
        <v>0</v>
      </c>
      <c r="AJ97" s="354">
        <v>0</v>
      </c>
      <c r="AK97" s="354">
        <v>0</v>
      </c>
      <c r="AL97" s="354">
        <v>0</v>
      </c>
      <c r="AM97" s="354">
        <v>0</v>
      </c>
      <c r="AN97" s="354">
        <v>0</v>
      </c>
      <c r="AO97" s="354">
        <v>0</v>
      </c>
      <c r="AP97" s="354">
        <v>0</v>
      </c>
      <c r="AQ97" s="354">
        <v>0</v>
      </c>
      <c r="AR97" s="354">
        <v>0</v>
      </c>
      <c r="AS97" s="354">
        <v>0</v>
      </c>
      <c r="AT97" s="354">
        <v>0</v>
      </c>
      <c r="AU97" s="354">
        <v>0</v>
      </c>
      <c r="AV97" s="354">
        <v>0</v>
      </c>
      <c r="AW97" s="354">
        <v>0</v>
      </c>
      <c r="AX97" s="354">
        <v>0</v>
      </c>
      <c r="AY97" s="354">
        <v>0</v>
      </c>
      <c r="AZ97" s="354">
        <v>0</v>
      </c>
      <c r="BA97" s="354">
        <v>0</v>
      </c>
      <c r="BB97" s="354">
        <v>0</v>
      </c>
      <c r="BC97" s="354">
        <v>0</v>
      </c>
      <c r="BD97" s="354">
        <v>0</v>
      </c>
      <c r="BE97" s="354">
        <v>0</v>
      </c>
      <c r="BF97" s="354">
        <v>0</v>
      </c>
      <c r="BG97" s="354">
        <v>0</v>
      </c>
      <c r="BH97" s="354">
        <v>0</v>
      </c>
      <c r="BI97" s="354">
        <v>0</v>
      </c>
      <c r="BJ97" s="354">
        <v>0</v>
      </c>
      <c r="BK97" s="354">
        <v>0</v>
      </c>
      <c r="BL97" s="354">
        <v>0</v>
      </c>
      <c r="BM97" s="354">
        <v>0</v>
      </c>
      <c r="BN97" s="354">
        <v>0</v>
      </c>
      <c r="BO97" s="354">
        <v>0</v>
      </c>
      <c r="BP97" s="354">
        <v>0</v>
      </c>
      <c r="BQ97" s="354">
        <v>0</v>
      </c>
      <c r="BR97" s="354">
        <v>0</v>
      </c>
      <c r="BS97" s="354">
        <v>0</v>
      </c>
      <c r="BT97" s="354">
        <v>0</v>
      </c>
      <c r="BU97" s="354">
        <v>0</v>
      </c>
      <c r="BV97" s="354">
        <v>0</v>
      </c>
      <c r="BW97" s="354">
        <v>0</v>
      </c>
      <c r="BX97" s="354">
        <v>0</v>
      </c>
      <c r="BY97" s="354">
        <v>0</v>
      </c>
      <c r="BZ97" s="400">
        <v>0</v>
      </c>
      <c r="CA97" s="354">
        <v>0</v>
      </c>
      <c r="CB97" s="354">
        <v>0</v>
      </c>
      <c r="CC97" s="354">
        <v>0</v>
      </c>
      <c r="CD97" s="354">
        <v>0</v>
      </c>
      <c r="CE97" s="354">
        <v>1284.30804911</v>
      </c>
      <c r="CF97" s="354">
        <v>152.50007489000001</v>
      </c>
      <c r="CG97" s="354">
        <v>737.11114299999997</v>
      </c>
      <c r="CH97" s="354">
        <v>0</v>
      </c>
      <c r="CI97" s="354">
        <v>739.28414899999996</v>
      </c>
      <c r="CJ97" s="354">
        <v>0</v>
      </c>
      <c r="CK97" s="567">
        <v>0</v>
      </c>
      <c r="CL97" s="354">
        <v>910.55074100000002</v>
      </c>
      <c r="CM97" s="354">
        <v>0</v>
      </c>
      <c r="CN97" s="354">
        <v>0</v>
      </c>
      <c r="CO97" s="354">
        <v>0</v>
      </c>
      <c r="CP97" s="354">
        <v>0</v>
      </c>
      <c r="CQ97" s="354">
        <v>0</v>
      </c>
      <c r="CR97" s="354">
        <v>0</v>
      </c>
      <c r="CS97" s="354">
        <v>0</v>
      </c>
      <c r="CT97" s="354">
        <v>0</v>
      </c>
      <c r="CU97" s="354">
        <v>0</v>
      </c>
      <c r="CV97" s="354">
        <v>0</v>
      </c>
      <c r="CW97" s="354">
        <v>0</v>
      </c>
      <c r="CX97" s="354">
        <v>0</v>
      </c>
      <c r="CY97" s="354">
        <v>0</v>
      </c>
      <c r="CZ97" s="354">
        <v>0</v>
      </c>
      <c r="DA97" s="354">
        <v>0</v>
      </c>
      <c r="DB97" s="354">
        <v>0</v>
      </c>
      <c r="DC97" s="354">
        <v>0</v>
      </c>
      <c r="DD97" s="354">
        <v>0</v>
      </c>
      <c r="DE97" s="354">
        <v>0</v>
      </c>
      <c r="DF97" s="354">
        <v>0</v>
      </c>
      <c r="DG97" s="354">
        <v>0</v>
      </c>
      <c r="DH97" s="354">
        <v>0</v>
      </c>
      <c r="DI97" s="354">
        <v>0</v>
      </c>
      <c r="DJ97" s="354">
        <v>0</v>
      </c>
      <c r="DK97" s="354">
        <v>0</v>
      </c>
      <c r="DL97" s="354">
        <v>0</v>
      </c>
      <c r="DM97" s="354">
        <v>0</v>
      </c>
      <c r="DN97" s="354">
        <v>0</v>
      </c>
      <c r="DO97" s="354">
        <v>0</v>
      </c>
      <c r="DP97" s="354">
        <v>0</v>
      </c>
      <c r="DQ97" s="354">
        <v>0</v>
      </c>
      <c r="DR97" s="354">
        <v>0</v>
      </c>
      <c r="DS97" s="354">
        <v>0</v>
      </c>
      <c r="DT97" s="354">
        <v>0</v>
      </c>
      <c r="DU97" s="354">
        <v>0</v>
      </c>
      <c r="DV97" s="354">
        <v>0</v>
      </c>
      <c r="DW97" s="543">
        <f t="shared" ref="DW97:DW135" si="17">SUM(G97:DV97)</f>
        <v>3823.7541569999999</v>
      </c>
      <c r="DX97" s="858">
        <f>DW97+DW98+DW99</f>
        <v>3823.7541569999999</v>
      </c>
      <c r="DY97" s="707">
        <f>+DX97*1000000</f>
        <v>3823754157</v>
      </c>
      <c r="DZ97" s="870">
        <f>+DY97-D97</f>
        <v>0</v>
      </c>
      <c r="EA97" s="873">
        <f>VLOOKUP([12]POA!$B142,'[12]Detalle Plan de Adquisiciones'!$G$6:$AF$65,23,0)</f>
        <v>42374</v>
      </c>
      <c r="EB97" s="859">
        <f>VLOOKUP([12]POA!$B142,'[12]Detalle Plan de Adquisiciones'!$G$6:$AF$65,25,0)</f>
        <v>42618</v>
      </c>
      <c r="EC97" s="859">
        <f>EB97+30</f>
        <v>42648</v>
      </c>
      <c r="ED97" s="859" t="str">
        <f>CONCATENATE(MONTH(EA97),"-",YEAR(EA97))</f>
        <v>1-2016</v>
      </c>
      <c r="EE97" s="859" t="str">
        <f>CONCATENATE(MONTH(EB97),"-",YEAR(EB97))</f>
        <v>9-2016</v>
      </c>
      <c r="EF97" s="861" t="str">
        <f>CONCATENATE(MONTH(EC97),"-",YEAR(EC97))</f>
        <v>10-2016</v>
      </c>
      <c r="EG97" s="1105">
        <f>+YEAR(EA97)</f>
        <v>2016</v>
      </c>
      <c r="EH97" s="393">
        <f>+DY97</f>
        <v>3823754157</v>
      </c>
      <c r="EI97" s="858">
        <f>+DW97+DW98+DW99</f>
        <v>3823.7541569999999</v>
      </c>
      <c r="EJ97" s="877">
        <f>+D97/1000000-EI97</f>
        <v>0</v>
      </c>
      <c r="ER97" s="625"/>
      <c r="ES97" s="278">
        <f>+DW97*1000000</f>
        <v>3823754157</v>
      </c>
      <c r="ET97" s="419">
        <f>+ES97-D97</f>
        <v>0</v>
      </c>
    </row>
    <row r="98" spans="1:150" s="278" customFormat="1" outlineLevel="2" x14ac:dyDescent="0.2">
      <c r="A98" s="893"/>
      <c r="B98" s="886"/>
      <c r="C98" s="903"/>
      <c r="D98" s="864"/>
      <c r="E98" s="867"/>
      <c r="F98" s="311" t="s">
        <v>210</v>
      </c>
      <c r="G98" s="363">
        <v>0</v>
      </c>
      <c r="H98" s="363">
        <v>0</v>
      </c>
      <c r="I98" s="363">
        <v>0</v>
      </c>
      <c r="J98" s="363">
        <v>0</v>
      </c>
      <c r="K98" s="363">
        <v>0</v>
      </c>
      <c r="L98" s="363">
        <v>0</v>
      </c>
      <c r="M98" s="363">
        <v>0</v>
      </c>
      <c r="N98" s="363">
        <v>0</v>
      </c>
      <c r="O98" s="363">
        <v>0</v>
      </c>
      <c r="P98" s="363">
        <v>0</v>
      </c>
      <c r="Q98" s="363">
        <v>0</v>
      </c>
      <c r="R98" s="363">
        <v>0</v>
      </c>
      <c r="S98" s="363">
        <v>0</v>
      </c>
      <c r="T98" s="363">
        <v>0</v>
      </c>
      <c r="U98" s="363">
        <v>0</v>
      </c>
      <c r="V98" s="363">
        <v>0</v>
      </c>
      <c r="W98" s="363">
        <v>0</v>
      </c>
      <c r="X98" s="363">
        <v>0</v>
      </c>
      <c r="Y98" s="363">
        <v>0</v>
      </c>
      <c r="Z98" s="363">
        <v>0</v>
      </c>
      <c r="AA98" s="363">
        <v>0</v>
      </c>
      <c r="AB98" s="363">
        <v>0</v>
      </c>
      <c r="AC98" s="363">
        <v>0</v>
      </c>
      <c r="AD98" s="363">
        <v>0</v>
      </c>
      <c r="AE98" s="363">
        <v>0</v>
      </c>
      <c r="AF98" s="363">
        <v>0</v>
      </c>
      <c r="AG98" s="363">
        <v>0</v>
      </c>
      <c r="AH98" s="363">
        <v>0</v>
      </c>
      <c r="AI98" s="363">
        <v>0</v>
      </c>
      <c r="AJ98" s="363">
        <v>0</v>
      </c>
      <c r="AK98" s="363">
        <v>0</v>
      </c>
      <c r="AL98" s="363">
        <v>0</v>
      </c>
      <c r="AM98" s="363">
        <v>0</v>
      </c>
      <c r="AN98" s="363">
        <v>0</v>
      </c>
      <c r="AO98" s="363">
        <v>0</v>
      </c>
      <c r="AP98" s="363">
        <v>0</v>
      </c>
      <c r="AQ98" s="363">
        <v>0</v>
      </c>
      <c r="AR98" s="363">
        <v>0</v>
      </c>
      <c r="AS98" s="363">
        <v>0</v>
      </c>
      <c r="AT98" s="363">
        <v>0</v>
      </c>
      <c r="AU98" s="363">
        <v>0</v>
      </c>
      <c r="AV98" s="363">
        <v>0</v>
      </c>
      <c r="AW98" s="363">
        <v>0</v>
      </c>
      <c r="AX98" s="363">
        <v>0</v>
      </c>
      <c r="AY98" s="363">
        <v>0</v>
      </c>
      <c r="AZ98" s="363">
        <v>0</v>
      </c>
      <c r="BA98" s="363">
        <v>0</v>
      </c>
      <c r="BB98" s="363">
        <v>0</v>
      </c>
      <c r="BC98" s="363">
        <v>0</v>
      </c>
      <c r="BD98" s="363">
        <v>0</v>
      </c>
      <c r="BE98" s="363">
        <v>0</v>
      </c>
      <c r="BF98" s="363">
        <v>0</v>
      </c>
      <c r="BG98" s="363">
        <v>0</v>
      </c>
      <c r="BH98" s="363">
        <v>0</v>
      </c>
      <c r="BI98" s="363">
        <v>0</v>
      </c>
      <c r="BJ98" s="363">
        <v>0</v>
      </c>
      <c r="BK98" s="363">
        <v>0</v>
      </c>
      <c r="BL98" s="363">
        <v>0</v>
      </c>
      <c r="BM98" s="363">
        <v>0</v>
      </c>
      <c r="BN98" s="363">
        <v>0</v>
      </c>
      <c r="BO98" s="363">
        <v>0</v>
      </c>
      <c r="BP98" s="363">
        <v>0</v>
      </c>
      <c r="BQ98" s="363">
        <v>0</v>
      </c>
      <c r="BR98" s="363">
        <v>0</v>
      </c>
      <c r="BS98" s="363">
        <v>0</v>
      </c>
      <c r="BT98" s="363">
        <v>0</v>
      </c>
      <c r="BU98" s="363">
        <v>0</v>
      </c>
      <c r="BV98" s="363">
        <v>0</v>
      </c>
      <c r="BW98" s="363">
        <v>0</v>
      </c>
      <c r="BX98" s="363">
        <v>0</v>
      </c>
      <c r="BY98" s="363">
        <v>0</v>
      </c>
      <c r="BZ98" s="363">
        <v>0</v>
      </c>
      <c r="CA98" s="363">
        <v>0</v>
      </c>
      <c r="CB98" s="363">
        <v>0</v>
      </c>
      <c r="CC98" s="363">
        <v>0</v>
      </c>
      <c r="CD98" s="363">
        <v>0</v>
      </c>
      <c r="CE98" s="363">
        <v>0</v>
      </c>
      <c r="CF98" s="363">
        <v>0</v>
      </c>
      <c r="CG98" s="363">
        <v>0</v>
      </c>
      <c r="CH98" s="363">
        <v>0</v>
      </c>
      <c r="CI98" s="363">
        <v>0</v>
      </c>
      <c r="CJ98" s="363">
        <v>0</v>
      </c>
      <c r="CK98" s="363">
        <v>0</v>
      </c>
      <c r="CL98" s="363"/>
      <c r="CM98" s="363">
        <v>0</v>
      </c>
      <c r="CN98" s="363">
        <v>0</v>
      </c>
      <c r="CO98" s="363">
        <v>0</v>
      </c>
      <c r="CP98" s="363">
        <v>0</v>
      </c>
      <c r="CQ98" s="363">
        <v>0</v>
      </c>
      <c r="CR98" s="363">
        <v>0</v>
      </c>
      <c r="CS98" s="363">
        <v>0</v>
      </c>
      <c r="CT98" s="363">
        <v>0</v>
      </c>
      <c r="CU98" s="363">
        <v>0</v>
      </c>
      <c r="CV98" s="363">
        <v>0</v>
      </c>
      <c r="CW98" s="363">
        <v>0</v>
      </c>
      <c r="CX98" s="363">
        <v>0</v>
      </c>
      <c r="CY98" s="363">
        <v>0</v>
      </c>
      <c r="CZ98" s="363">
        <v>0</v>
      </c>
      <c r="DA98" s="363">
        <v>0</v>
      </c>
      <c r="DB98" s="363">
        <v>0</v>
      </c>
      <c r="DC98" s="363">
        <v>0</v>
      </c>
      <c r="DD98" s="363">
        <v>0</v>
      </c>
      <c r="DE98" s="363">
        <v>0</v>
      </c>
      <c r="DF98" s="363">
        <v>0</v>
      </c>
      <c r="DG98" s="363">
        <v>0</v>
      </c>
      <c r="DH98" s="363">
        <v>0</v>
      </c>
      <c r="DI98" s="363">
        <v>0</v>
      </c>
      <c r="DJ98" s="363">
        <v>0</v>
      </c>
      <c r="DK98" s="363">
        <v>0</v>
      </c>
      <c r="DL98" s="363">
        <v>0</v>
      </c>
      <c r="DM98" s="363">
        <v>0</v>
      </c>
      <c r="DN98" s="363">
        <v>0</v>
      </c>
      <c r="DO98" s="363">
        <v>0</v>
      </c>
      <c r="DP98" s="363">
        <v>0</v>
      </c>
      <c r="DQ98" s="363">
        <v>0</v>
      </c>
      <c r="DR98" s="363">
        <v>0</v>
      </c>
      <c r="DS98" s="363">
        <v>0</v>
      </c>
      <c r="DT98" s="363">
        <v>0</v>
      </c>
      <c r="DU98" s="363">
        <v>0</v>
      </c>
      <c r="DV98" s="363">
        <v>0</v>
      </c>
      <c r="DW98" s="544">
        <f t="shared" si="17"/>
        <v>0</v>
      </c>
      <c r="DX98" s="858"/>
      <c r="DY98" s="705"/>
      <c r="DZ98" s="871"/>
      <c r="EA98" s="873"/>
      <c r="EB98" s="859"/>
      <c r="EC98" s="859"/>
      <c r="ED98" s="859"/>
      <c r="EE98" s="859"/>
      <c r="EF98" s="861"/>
      <c r="EG98" s="1106"/>
      <c r="EI98" s="858"/>
      <c r="EJ98" s="877"/>
      <c r="ER98" s="625"/>
    </row>
    <row r="99" spans="1:150" s="278" customFormat="1" ht="12.75" outlineLevel="2" thickBot="1" x14ac:dyDescent="0.25">
      <c r="A99" s="1006"/>
      <c r="B99" s="908"/>
      <c r="C99" s="909"/>
      <c r="D99" s="876"/>
      <c r="E99" s="875"/>
      <c r="F99" s="313" t="s">
        <v>211</v>
      </c>
      <c r="G99" s="387">
        <v>0</v>
      </c>
      <c r="H99" s="387">
        <v>0</v>
      </c>
      <c r="I99" s="387">
        <v>0</v>
      </c>
      <c r="J99" s="387">
        <v>0</v>
      </c>
      <c r="K99" s="387">
        <v>0</v>
      </c>
      <c r="L99" s="387">
        <v>0</v>
      </c>
      <c r="M99" s="387">
        <v>0</v>
      </c>
      <c r="N99" s="387">
        <v>0</v>
      </c>
      <c r="O99" s="387">
        <v>0</v>
      </c>
      <c r="P99" s="387">
        <v>0</v>
      </c>
      <c r="Q99" s="387">
        <v>0</v>
      </c>
      <c r="R99" s="387">
        <v>0</v>
      </c>
      <c r="S99" s="387">
        <v>0</v>
      </c>
      <c r="T99" s="387">
        <v>0</v>
      </c>
      <c r="U99" s="387">
        <v>0</v>
      </c>
      <c r="V99" s="387">
        <v>0</v>
      </c>
      <c r="W99" s="387">
        <v>0</v>
      </c>
      <c r="X99" s="387">
        <v>0</v>
      </c>
      <c r="Y99" s="387">
        <v>0</v>
      </c>
      <c r="Z99" s="387">
        <v>0</v>
      </c>
      <c r="AA99" s="387">
        <v>0</v>
      </c>
      <c r="AB99" s="387">
        <v>0</v>
      </c>
      <c r="AC99" s="387">
        <v>0</v>
      </c>
      <c r="AD99" s="387">
        <v>0</v>
      </c>
      <c r="AE99" s="387">
        <v>0</v>
      </c>
      <c r="AF99" s="387">
        <v>0</v>
      </c>
      <c r="AG99" s="387">
        <v>0</v>
      </c>
      <c r="AH99" s="387">
        <v>0</v>
      </c>
      <c r="AI99" s="387">
        <v>0</v>
      </c>
      <c r="AJ99" s="387">
        <v>0</v>
      </c>
      <c r="AK99" s="387">
        <v>0</v>
      </c>
      <c r="AL99" s="387">
        <v>0</v>
      </c>
      <c r="AM99" s="387">
        <v>0</v>
      </c>
      <c r="AN99" s="387">
        <v>0</v>
      </c>
      <c r="AO99" s="387">
        <v>0</v>
      </c>
      <c r="AP99" s="387">
        <v>0</v>
      </c>
      <c r="AQ99" s="387">
        <v>0</v>
      </c>
      <c r="AR99" s="387">
        <v>0</v>
      </c>
      <c r="AS99" s="387">
        <v>0</v>
      </c>
      <c r="AT99" s="387">
        <v>0</v>
      </c>
      <c r="AU99" s="387">
        <v>0</v>
      </c>
      <c r="AV99" s="387">
        <v>0</v>
      </c>
      <c r="AW99" s="387">
        <v>0</v>
      </c>
      <c r="AX99" s="387">
        <v>0</v>
      </c>
      <c r="AY99" s="387">
        <v>0</v>
      </c>
      <c r="AZ99" s="387">
        <v>0</v>
      </c>
      <c r="BA99" s="387">
        <v>0</v>
      </c>
      <c r="BB99" s="387">
        <v>0</v>
      </c>
      <c r="BC99" s="387">
        <v>0</v>
      </c>
      <c r="BD99" s="387">
        <v>0</v>
      </c>
      <c r="BE99" s="387">
        <v>0</v>
      </c>
      <c r="BF99" s="387">
        <v>0</v>
      </c>
      <c r="BG99" s="387">
        <v>0</v>
      </c>
      <c r="BH99" s="387">
        <v>0</v>
      </c>
      <c r="BI99" s="387">
        <v>0</v>
      </c>
      <c r="BJ99" s="387">
        <v>0</v>
      </c>
      <c r="BK99" s="387">
        <v>0</v>
      </c>
      <c r="BL99" s="387">
        <v>0</v>
      </c>
      <c r="BM99" s="387">
        <v>0</v>
      </c>
      <c r="BN99" s="387">
        <v>0</v>
      </c>
      <c r="BO99" s="387">
        <v>0</v>
      </c>
      <c r="BP99" s="387">
        <v>0</v>
      </c>
      <c r="BQ99" s="387">
        <v>0</v>
      </c>
      <c r="BR99" s="387">
        <v>0</v>
      </c>
      <c r="BS99" s="387">
        <v>0</v>
      </c>
      <c r="BT99" s="387">
        <v>0</v>
      </c>
      <c r="BU99" s="387">
        <v>0</v>
      </c>
      <c r="BV99" s="387">
        <v>0</v>
      </c>
      <c r="BW99" s="387">
        <v>0</v>
      </c>
      <c r="BX99" s="387">
        <v>0</v>
      </c>
      <c r="BY99" s="387">
        <v>0</v>
      </c>
      <c r="BZ99" s="387">
        <v>0</v>
      </c>
      <c r="CA99" s="387">
        <v>0</v>
      </c>
      <c r="CB99" s="387">
        <v>0</v>
      </c>
      <c r="CC99" s="387">
        <v>0</v>
      </c>
      <c r="CD99" s="387">
        <v>0</v>
      </c>
      <c r="CE99" s="387">
        <v>0</v>
      </c>
      <c r="CF99" s="387">
        <v>0</v>
      </c>
      <c r="CG99" s="387">
        <v>0</v>
      </c>
      <c r="CH99" s="387">
        <v>0</v>
      </c>
      <c r="CI99" s="387"/>
      <c r="CJ99" s="387"/>
      <c r="CK99" s="387">
        <v>0</v>
      </c>
      <c r="CL99" s="387"/>
      <c r="CM99" s="387">
        <v>0</v>
      </c>
      <c r="CN99" s="387">
        <v>0</v>
      </c>
      <c r="CO99" s="387">
        <v>0</v>
      </c>
      <c r="CP99" s="387">
        <v>0</v>
      </c>
      <c r="CQ99" s="387">
        <v>0</v>
      </c>
      <c r="CR99" s="387">
        <v>0</v>
      </c>
      <c r="CS99" s="387">
        <v>0</v>
      </c>
      <c r="CT99" s="387">
        <v>0</v>
      </c>
      <c r="CU99" s="387">
        <v>0</v>
      </c>
      <c r="CV99" s="387">
        <v>0</v>
      </c>
      <c r="CW99" s="387">
        <v>0</v>
      </c>
      <c r="CX99" s="387">
        <v>0</v>
      </c>
      <c r="CY99" s="387">
        <v>0</v>
      </c>
      <c r="CZ99" s="387">
        <v>0</v>
      </c>
      <c r="DA99" s="387">
        <v>0</v>
      </c>
      <c r="DB99" s="387">
        <v>0</v>
      </c>
      <c r="DC99" s="387">
        <v>0</v>
      </c>
      <c r="DD99" s="387">
        <v>0</v>
      </c>
      <c r="DE99" s="387">
        <v>0</v>
      </c>
      <c r="DF99" s="387">
        <v>0</v>
      </c>
      <c r="DG99" s="387">
        <v>0</v>
      </c>
      <c r="DH99" s="387">
        <v>0</v>
      </c>
      <c r="DI99" s="387">
        <v>0</v>
      </c>
      <c r="DJ99" s="387">
        <v>0</v>
      </c>
      <c r="DK99" s="387">
        <v>0</v>
      </c>
      <c r="DL99" s="387">
        <v>0</v>
      </c>
      <c r="DM99" s="387">
        <v>0</v>
      </c>
      <c r="DN99" s="387">
        <v>0</v>
      </c>
      <c r="DO99" s="387">
        <v>0</v>
      </c>
      <c r="DP99" s="387">
        <v>0</v>
      </c>
      <c r="DQ99" s="387">
        <v>0</v>
      </c>
      <c r="DR99" s="387">
        <v>0</v>
      </c>
      <c r="DS99" s="387">
        <v>0</v>
      </c>
      <c r="DT99" s="387">
        <v>0</v>
      </c>
      <c r="DU99" s="387">
        <v>0</v>
      </c>
      <c r="DV99" s="387">
        <v>0</v>
      </c>
      <c r="DW99" s="545">
        <f t="shared" si="17"/>
        <v>0</v>
      </c>
      <c r="DX99" s="858"/>
      <c r="DY99" s="706"/>
      <c r="DZ99" s="872"/>
      <c r="EA99" s="873"/>
      <c r="EB99" s="859"/>
      <c r="EC99" s="859"/>
      <c r="ED99" s="859"/>
      <c r="EE99" s="859"/>
      <c r="EF99" s="861"/>
      <c r="EG99" s="1107"/>
      <c r="EI99" s="858"/>
      <c r="EJ99" s="877"/>
      <c r="ER99" s="625"/>
    </row>
    <row r="100" spans="1:150" s="278" customFormat="1" ht="24" outlineLevel="2" x14ac:dyDescent="0.2">
      <c r="A100" s="892" t="s">
        <v>405</v>
      </c>
      <c r="B100" s="897" t="s">
        <v>403</v>
      </c>
      <c r="C100" s="902">
        <v>12</v>
      </c>
      <c r="D100" s="863">
        <f>+IFERROR(VLOOKUP(B100,'Detalle Plan de Adquisiciones'!$G$53:$L$153,6,FALSE),0)</f>
        <v>569244480</v>
      </c>
      <c r="E100" s="866" t="str">
        <f>+'Detalle Plan de Adquisiciones'!F104</f>
        <v>INTERVENTORÍA TÉCNICA, ADMINISTRATIVA, FINANCIERA Y AMBIENTAL A LOS CONTRATOS CUYOS OBJETOS SON: 1. REHABILITACIÓN DEL PAVIMENTO RÍGIDO, ANDENES Y ESPACIO PÚBLICO DE LA CALLE 25 ENTRE CARRERA 1 Y CARRERA 12, CONTINUANDO POR LA CARRERA 12 ENTRE CALLE 25 Y CALLE 26 Y SIGUIENDO HASTA  LA CALLE 26 ENTRE LA CARRERA 12 Y AV. CIRCUNVALAR , ID (132, 133, 134 y 218) Y LA CONSTRUCCIÓN DE ONCE (11) PARADEROS CON ESPACIO PUBLICO EN VARIOS CORREDORES PERTENECIENTES AL SISTEMA ESTRATÉGICO DE TRANSPORTE PUBLICO "SETP" DE LA CIUDAD DE MONTERÍA, 2. CONSTRUCCIÓN DEL PAVIMENTO RÍGIDO, ANDENES Y ESPACIO PUBLICO DE LA CALLE 26 ENTRE CARRERA 1 Y CARRERA 5, LAS CARRERAS 6 Y 7 ENTRE CALLE 27 Y CALLE 30,ID (217-229-230). PERTENECIENTE AL SISTEMA ESTRATÉGICO DE TRANSPORTE PUBLICO "SETP" DE LA CIUDAD DE MONTERÍA.</v>
      </c>
      <c r="F100" s="312" t="s">
        <v>410</v>
      </c>
      <c r="G100" s="354">
        <v>0</v>
      </c>
      <c r="H100" s="354">
        <v>0</v>
      </c>
      <c r="I100" s="354">
        <v>0</v>
      </c>
      <c r="J100" s="354">
        <v>0</v>
      </c>
      <c r="K100" s="354">
        <v>0</v>
      </c>
      <c r="L100" s="354">
        <v>0</v>
      </c>
      <c r="M100" s="354">
        <v>0</v>
      </c>
      <c r="N100" s="354">
        <v>0</v>
      </c>
      <c r="O100" s="354">
        <v>0</v>
      </c>
      <c r="P100" s="354">
        <v>0</v>
      </c>
      <c r="Q100" s="354">
        <v>0</v>
      </c>
      <c r="R100" s="354">
        <v>0</v>
      </c>
      <c r="S100" s="354">
        <v>0</v>
      </c>
      <c r="T100" s="354">
        <v>0</v>
      </c>
      <c r="U100" s="354">
        <v>0</v>
      </c>
      <c r="V100" s="354">
        <v>0</v>
      </c>
      <c r="W100" s="354">
        <v>0</v>
      </c>
      <c r="X100" s="354">
        <v>0</v>
      </c>
      <c r="Y100" s="354">
        <v>0</v>
      </c>
      <c r="Z100" s="354">
        <v>0</v>
      </c>
      <c r="AA100" s="354">
        <v>0</v>
      </c>
      <c r="AB100" s="354">
        <v>0</v>
      </c>
      <c r="AC100" s="354">
        <v>0</v>
      </c>
      <c r="AD100" s="354">
        <v>0</v>
      </c>
      <c r="AE100" s="354">
        <v>0</v>
      </c>
      <c r="AF100" s="354">
        <v>0</v>
      </c>
      <c r="AG100" s="354">
        <v>0</v>
      </c>
      <c r="AH100" s="354">
        <v>0</v>
      </c>
      <c r="AI100" s="354">
        <v>0</v>
      </c>
      <c r="AJ100" s="354">
        <v>0</v>
      </c>
      <c r="AK100" s="354">
        <v>0</v>
      </c>
      <c r="AL100" s="354">
        <v>0</v>
      </c>
      <c r="AM100" s="354">
        <v>0</v>
      </c>
      <c r="AN100" s="354">
        <v>0</v>
      </c>
      <c r="AO100" s="354">
        <v>0</v>
      </c>
      <c r="AP100" s="354">
        <v>0</v>
      </c>
      <c r="AQ100" s="354">
        <v>0</v>
      </c>
      <c r="AR100" s="354">
        <v>0</v>
      </c>
      <c r="AS100" s="354">
        <v>0</v>
      </c>
      <c r="AT100" s="354">
        <v>0</v>
      </c>
      <c r="AU100" s="354">
        <v>0</v>
      </c>
      <c r="AV100" s="354">
        <v>0</v>
      </c>
      <c r="AW100" s="354">
        <v>0</v>
      </c>
      <c r="AX100" s="354">
        <v>0</v>
      </c>
      <c r="AY100" s="354">
        <v>0</v>
      </c>
      <c r="AZ100" s="354">
        <v>0</v>
      </c>
      <c r="BA100" s="354">
        <v>0</v>
      </c>
      <c r="BB100" s="354">
        <v>0</v>
      </c>
      <c r="BC100" s="354">
        <v>0</v>
      </c>
      <c r="BD100" s="354">
        <v>0</v>
      </c>
      <c r="BE100" s="354">
        <v>0</v>
      </c>
      <c r="BF100" s="354">
        <v>0</v>
      </c>
      <c r="BG100" s="354">
        <v>0</v>
      </c>
      <c r="BH100" s="354">
        <v>0</v>
      </c>
      <c r="BI100" s="354">
        <v>0</v>
      </c>
      <c r="BJ100" s="354">
        <v>0</v>
      </c>
      <c r="BK100" s="354">
        <v>0</v>
      </c>
      <c r="BL100" s="354">
        <v>0</v>
      </c>
      <c r="BM100" s="354">
        <v>0</v>
      </c>
      <c r="BN100" s="354">
        <v>0</v>
      </c>
      <c r="BO100" s="354">
        <v>0</v>
      </c>
      <c r="BP100" s="354">
        <v>0</v>
      </c>
      <c r="BQ100" s="354">
        <v>0</v>
      </c>
      <c r="BR100" s="354">
        <v>0</v>
      </c>
      <c r="BS100" s="354">
        <v>0</v>
      </c>
      <c r="BT100" s="354"/>
      <c r="BU100" s="354"/>
      <c r="BV100" s="400"/>
      <c r="BW100" s="400">
        <v>67.120384000000001</v>
      </c>
      <c r="BX100" s="400">
        <v>0</v>
      </c>
      <c r="BY100" s="400">
        <v>16.780096</v>
      </c>
      <c r="BZ100" s="400">
        <v>0</v>
      </c>
      <c r="CA100" s="560">
        <v>0</v>
      </c>
      <c r="CB100" s="560">
        <v>0</v>
      </c>
      <c r="CC100" s="560">
        <v>0</v>
      </c>
      <c r="CD100" s="560">
        <v>0</v>
      </c>
      <c r="CE100" s="560">
        <v>0</v>
      </c>
      <c r="CF100" s="560">
        <v>0</v>
      </c>
      <c r="CG100" s="560">
        <v>0</v>
      </c>
      <c r="CH100" s="560">
        <v>0</v>
      </c>
      <c r="CI100" s="560">
        <v>0</v>
      </c>
      <c r="CJ100" s="560">
        <v>0</v>
      </c>
      <c r="CK100" s="560">
        <v>0</v>
      </c>
      <c r="CL100" s="560">
        <v>0</v>
      </c>
      <c r="CM100" s="354">
        <v>0</v>
      </c>
      <c r="CN100" s="354">
        <v>0</v>
      </c>
      <c r="CO100" s="354">
        <v>0</v>
      </c>
      <c r="CP100" s="354">
        <v>0</v>
      </c>
      <c r="CQ100" s="354">
        <v>0</v>
      </c>
      <c r="CR100" s="354">
        <v>0</v>
      </c>
      <c r="CS100" s="354">
        <v>0</v>
      </c>
      <c r="CT100" s="354">
        <v>0</v>
      </c>
      <c r="CU100" s="354">
        <v>0</v>
      </c>
      <c r="CV100" s="354">
        <v>0</v>
      </c>
      <c r="CW100" s="354">
        <v>0</v>
      </c>
      <c r="CX100" s="354">
        <v>0</v>
      </c>
      <c r="CY100" s="354">
        <v>0</v>
      </c>
      <c r="CZ100" s="354">
        <v>0</v>
      </c>
      <c r="DA100" s="354">
        <v>0</v>
      </c>
      <c r="DB100" s="354">
        <v>0</v>
      </c>
      <c r="DC100" s="354">
        <v>0</v>
      </c>
      <c r="DD100" s="354">
        <v>0</v>
      </c>
      <c r="DE100" s="354">
        <v>0</v>
      </c>
      <c r="DF100" s="354">
        <v>0</v>
      </c>
      <c r="DG100" s="354">
        <v>0</v>
      </c>
      <c r="DH100" s="354">
        <v>0</v>
      </c>
      <c r="DI100" s="354">
        <v>0</v>
      </c>
      <c r="DJ100" s="354">
        <v>0</v>
      </c>
      <c r="DK100" s="354"/>
      <c r="DL100" s="354"/>
      <c r="DM100" s="354"/>
      <c r="DN100" s="354"/>
      <c r="DO100" s="354"/>
      <c r="DP100" s="354"/>
      <c r="DQ100" s="354"/>
      <c r="DR100" s="354"/>
      <c r="DS100" s="354"/>
      <c r="DT100" s="354"/>
      <c r="DU100" s="354"/>
      <c r="DV100" s="354"/>
      <c r="DW100" s="543">
        <f t="shared" si="17"/>
        <v>83.900480000000002</v>
      </c>
      <c r="DX100" s="858">
        <f>DW100+DW101+DW102</f>
        <v>569.24447999999995</v>
      </c>
      <c r="DY100" s="704">
        <f>+DX100*1000000</f>
        <v>569244480</v>
      </c>
      <c r="DZ100" s="870">
        <f>+DY100-D100</f>
        <v>0</v>
      </c>
      <c r="EA100" s="873">
        <f>VLOOKUP(POA!$B100,INTERPLAN,28,0)</f>
        <v>41654</v>
      </c>
      <c r="EB100" s="859">
        <f>+EDATE(EA100,C100)</f>
        <v>42019</v>
      </c>
      <c r="EC100" s="859">
        <f>EB100+30</f>
        <v>42049</v>
      </c>
      <c r="ED100" s="859" t="str">
        <f>CONCATENATE(MONTH(EA100),"-",YEAR(EA100))</f>
        <v>1-2014</v>
      </c>
      <c r="EE100" s="859" t="str">
        <f>CONCATENATE(MONTH(EB100),"-",YEAR(EB100))</f>
        <v>1-2015</v>
      </c>
      <c r="EF100" s="861" t="str">
        <f>CONCATENATE(MONTH(EC100),"-",YEAR(EC100))</f>
        <v>2-2015</v>
      </c>
      <c r="EG100" s="1105">
        <f>+YEAR(EA100)</f>
        <v>2014</v>
      </c>
      <c r="EH100" s="393">
        <f>+DY100</f>
        <v>569244480</v>
      </c>
      <c r="EI100" s="858">
        <f>+DW100+DW101+DW102</f>
        <v>569.24447999999995</v>
      </c>
      <c r="EJ100" s="877">
        <f>+D100/1000000-EI100</f>
        <v>0</v>
      </c>
      <c r="ER100" s="497"/>
    </row>
    <row r="101" spans="1:150" s="278" customFormat="1" outlineLevel="2" x14ac:dyDescent="0.2">
      <c r="A101" s="893"/>
      <c r="B101" s="886"/>
      <c r="C101" s="903"/>
      <c r="D101" s="864"/>
      <c r="E101" s="867"/>
      <c r="F101" s="311" t="s">
        <v>210</v>
      </c>
      <c r="G101" s="363">
        <v>0</v>
      </c>
      <c r="H101" s="363">
        <v>0</v>
      </c>
      <c r="I101" s="363">
        <v>0</v>
      </c>
      <c r="J101" s="363">
        <v>0</v>
      </c>
      <c r="K101" s="363">
        <v>0</v>
      </c>
      <c r="L101" s="363">
        <v>0</v>
      </c>
      <c r="M101" s="363">
        <v>0</v>
      </c>
      <c r="N101" s="363">
        <v>0</v>
      </c>
      <c r="O101" s="363">
        <v>0</v>
      </c>
      <c r="P101" s="363">
        <v>0</v>
      </c>
      <c r="Q101" s="363">
        <v>0</v>
      </c>
      <c r="R101" s="363">
        <v>0</v>
      </c>
      <c r="S101" s="363">
        <v>0</v>
      </c>
      <c r="T101" s="363">
        <v>0</v>
      </c>
      <c r="U101" s="363">
        <v>0</v>
      </c>
      <c r="V101" s="363">
        <v>0</v>
      </c>
      <c r="W101" s="363">
        <v>0</v>
      </c>
      <c r="X101" s="363">
        <v>0</v>
      </c>
      <c r="Y101" s="363">
        <v>0</v>
      </c>
      <c r="Z101" s="363">
        <v>0</v>
      </c>
      <c r="AA101" s="363">
        <v>0</v>
      </c>
      <c r="AB101" s="363">
        <v>0</v>
      </c>
      <c r="AC101" s="363">
        <v>0</v>
      </c>
      <c r="AD101" s="363">
        <v>0</v>
      </c>
      <c r="AE101" s="363">
        <v>0</v>
      </c>
      <c r="AF101" s="363">
        <v>0</v>
      </c>
      <c r="AG101" s="363">
        <v>0</v>
      </c>
      <c r="AH101" s="363">
        <v>0</v>
      </c>
      <c r="AI101" s="363">
        <v>0</v>
      </c>
      <c r="AJ101" s="363">
        <v>0</v>
      </c>
      <c r="AK101" s="363">
        <v>0</v>
      </c>
      <c r="AL101" s="363">
        <v>0</v>
      </c>
      <c r="AM101" s="363">
        <v>0</v>
      </c>
      <c r="AN101" s="363">
        <v>0</v>
      </c>
      <c r="AO101" s="363">
        <v>0</v>
      </c>
      <c r="AP101" s="363">
        <v>0</v>
      </c>
      <c r="AQ101" s="363">
        <v>0</v>
      </c>
      <c r="AR101" s="363">
        <v>0</v>
      </c>
      <c r="AS101" s="363">
        <v>0</v>
      </c>
      <c r="AT101" s="363">
        <v>0</v>
      </c>
      <c r="AU101" s="363">
        <v>0</v>
      </c>
      <c r="AV101" s="363">
        <v>0</v>
      </c>
      <c r="AW101" s="363">
        <v>0</v>
      </c>
      <c r="AX101" s="363">
        <v>0</v>
      </c>
      <c r="AY101" s="363">
        <v>0</v>
      </c>
      <c r="AZ101" s="363">
        <v>0</v>
      </c>
      <c r="BA101" s="363">
        <v>0</v>
      </c>
      <c r="BB101" s="363">
        <v>0</v>
      </c>
      <c r="BC101" s="363">
        <v>0</v>
      </c>
      <c r="BD101" s="363">
        <v>0</v>
      </c>
      <c r="BE101" s="363">
        <v>0</v>
      </c>
      <c r="BF101" s="363">
        <v>0</v>
      </c>
      <c r="BG101" s="363">
        <v>0</v>
      </c>
      <c r="BH101" s="363">
        <v>0</v>
      </c>
      <c r="BI101" s="363">
        <v>0</v>
      </c>
      <c r="BJ101" s="363">
        <v>0</v>
      </c>
      <c r="BK101" s="363">
        <v>0</v>
      </c>
      <c r="BL101" s="363">
        <v>0</v>
      </c>
      <c r="BM101" s="363">
        <v>0</v>
      </c>
      <c r="BN101" s="363">
        <v>0</v>
      </c>
      <c r="BO101" s="363">
        <v>0</v>
      </c>
      <c r="BP101" s="363">
        <v>0</v>
      </c>
      <c r="BQ101" s="363">
        <v>0</v>
      </c>
      <c r="BR101" s="363">
        <v>0</v>
      </c>
      <c r="BS101" s="363">
        <v>0</v>
      </c>
      <c r="BT101" s="363"/>
      <c r="BU101" s="363"/>
      <c r="BV101" s="363"/>
      <c r="BW101" s="363">
        <v>0</v>
      </c>
      <c r="BX101" s="423"/>
      <c r="BY101" s="363">
        <v>0</v>
      </c>
      <c r="BZ101" s="363">
        <v>0</v>
      </c>
      <c r="CA101" s="363">
        <v>0</v>
      </c>
      <c r="CB101" s="363">
        <v>0</v>
      </c>
      <c r="CC101" s="363">
        <v>0</v>
      </c>
      <c r="CD101" s="363">
        <v>0</v>
      </c>
      <c r="CE101" s="363">
        <v>0</v>
      </c>
      <c r="CF101" s="363">
        <v>0</v>
      </c>
      <c r="CG101" s="363">
        <v>0</v>
      </c>
      <c r="CH101" s="363">
        <v>0</v>
      </c>
      <c r="CI101" s="363">
        <v>0</v>
      </c>
      <c r="CJ101" s="363">
        <v>0</v>
      </c>
      <c r="CK101" s="363">
        <v>0</v>
      </c>
      <c r="CL101" s="363">
        <v>0</v>
      </c>
      <c r="CM101" s="363">
        <v>0</v>
      </c>
      <c r="CN101" s="363">
        <v>0</v>
      </c>
      <c r="CO101" s="363">
        <v>0</v>
      </c>
      <c r="CP101" s="363">
        <v>0</v>
      </c>
      <c r="CQ101" s="363">
        <v>0</v>
      </c>
      <c r="CR101" s="363">
        <v>0</v>
      </c>
      <c r="CS101" s="363">
        <v>0</v>
      </c>
      <c r="CT101" s="363">
        <v>0</v>
      </c>
      <c r="CU101" s="363">
        <v>0</v>
      </c>
      <c r="CV101" s="363">
        <v>0</v>
      </c>
      <c r="CW101" s="363">
        <v>0</v>
      </c>
      <c r="CX101" s="363">
        <v>0</v>
      </c>
      <c r="CY101" s="363">
        <v>0</v>
      </c>
      <c r="CZ101" s="363">
        <v>0</v>
      </c>
      <c r="DA101" s="363">
        <v>0</v>
      </c>
      <c r="DB101" s="363">
        <v>0</v>
      </c>
      <c r="DC101" s="363">
        <v>0</v>
      </c>
      <c r="DD101" s="363">
        <v>0</v>
      </c>
      <c r="DE101" s="363">
        <v>0</v>
      </c>
      <c r="DF101" s="363">
        <v>0</v>
      </c>
      <c r="DG101" s="363">
        <v>0</v>
      </c>
      <c r="DH101" s="363">
        <v>0</v>
      </c>
      <c r="DI101" s="363">
        <v>0</v>
      </c>
      <c r="DJ101" s="363">
        <v>0</v>
      </c>
      <c r="DK101" s="363"/>
      <c r="DL101" s="363"/>
      <c r="DM101" s="363"/>
      <c r="DN101" s="363"/>
      <c r="DO101" s="363"/>
      <c r="DP101" s="363"/>
      <c r="DQ101" s="363"/>
      <c r="DR101" s="363"/>
      <c r="DS101" s="363"/>
      <c r="DT101" s="363"/>
      <c r="DU101" s="363"/>
      <c r="DV101" s="363"/>
      <c r="DW101" s="544">
        <f t="shared" si="17"/>
        <v>0</v>
      </c>
      <c r="DX101" s="858"/>
      <c r="DY101" s="705"/>
      <c r="DZ101" s="871"/>
      <c r="EA101" s="873"/>
      <c r="EB101" s="859"/>
      <c r="EC101" s="859"/>
      <c r="ED101" s="859"/>
      <c r="EE101" s="859"/>
      <c r="EF101" s="861"/>
      <c r="EG101" s="1106"/>
      <c r="EI101" s="858"/>
      <c r="EJ101" s="877"/>
      <c r="ER101" s="497"/>
    </row>
    <row r="102" spans="1:150" s="278" customFormat="1" ht="46.5" customHeight="1" outlineLevel="2" thickBot="1" x14ac:dyDescent="0.25">
      <c r="A102" s="894"/>
      <c r="B102" s="887"/>
      <c r="C102" s="904"/>
      <c r="D102" s="865"/>
      <c r="E102" s="868"/>
      <c r="F102" s="315" t="s">
        <v>211</v>
      </c>
      <c r="G102" s="364">
        <v>0</v>
      </c>
      <c r="H102" s="364">
        <v>0</v>
      </c>
      <c r="I102" s="364">
        <v>0</v>
      </c>
      <c r="J102" s="364">
        <v>0</v>
      </c>
      <c r="K102" s="364">
        <v>0</v>
      </c>
      <c r="L102" s="364">
        <v>0</v>
      </c>
      <c r="M102" s="364">
        <v>0</v>
      </c>
      <c r="N102" s="364">
        <v>0</v>
      </c>
      <c r="O102" s="364">
        <v>0</v>
      </c>
      <c r="P102" s="364">
        <v>0</v>
      </c>
      <c r="Q102" s="364">
        <v>0</v>
      </c>
      <c r="R102" s="364">
        <v>0</v>
      </c>
      <c r="S102" s="364">
        <v>0</v>
      </c>
      <c r="T102" s="364">
        <v>0</v>
      </c>
      <c r="U102" s="364">
        <v>0</v>
      </c>
      <c r="V102" s="364">
        <v>0</v>
      </c>
      <c r="W102" s="364">
        <v>0</v>
      </c>
      <c r="X102" s="364">
        <v>0</v>
      </c>
      <c r="Y102" s="364">
        <v>0</v>
      </c>
      <c r="Z102" s="364">
        <v>0</v>
      </c>
      <c r="AA102" s="364">
        <v>0</v>
      </c>
      <c r="AB102" s="364">
        <v>0</v>
      </c>
      <c r="AC102" s="364">
        <v>0</v>
      </c>
      <c r="AD102" s="364">
        <v>0</v>
      </c>
      <c r="AE102" s="364">
        <v>0</v>
      </c>
      <c r="AF102" s="364">
        <v>0</v>
      </c>
      <c r="AG102" s="364">
        <v>0</v>
      </c>
      <c r="AH102" s="364">
        <v>0</v>
      </c>
      <c r="AI102" s="364">
        <v>0</v>
      </c>
      <c r="AJ102" s="364">
        <v>0</v>
      </c>
      <c r="AK102" s="364">
        <v>0</v>
      </c>
      <c r="AL102" s="364">
        <v>0</v>
      </c>
      <c r="AM102" s="364">
        <v>0</v>
      </c>
      <c r="AN102" s="364">
        <v>0</v>
      </c>
      <c r="AO102" s="364">
        <v>0</v>
      </c>
      <c r="AP102" s="364">
        <v>0</v>
      </c>
      <c r="AQ102" s="364">
        <v>0</v>
      </c>
      <c r="AR102" s="364">
        <v>0</v>
      </c>
      <c r="AS102" s="364">
        <v>0</v>
      </c>
      <c r="AT102" s="364">
        <v>0</v>
      </c>
      <c r="AU102" s="364">
        <v>0</v>
      </c>
      <c r="AV102" s="364">
        <v>0</v>
      </c>
      <c r="AW102" s="364">
        <v>0</v>
      </c>
      <c r="AX102" s="364">
        <v>0</v>
      </c>
      <c r="AY102" s="364">
        <v>0</v>
      </c>
      <c r="AZ102" s="364">
        <v>0</v>
      </c>
      <c r="BA102" s="364">
        <v>0</v>
      </c>
      <c r="BB102" s="364">
        <v>0</v>
      </c>
      <c r="BC102" s="364">
        <v>0</v>
      </c>
      <c r="BD102" s="364">
        <v>0</v>
      </c>
      <c r="BE102" s="364">
        <v>0</v>
      </c>
      <c r="BF102" s="364">
        <v>0</v>
      </c>
      <c r="BG102" s="364">
        <v>0</v>
      </c>
      <c r="BH102" s="364">
        <v>0</v>
      </c>
      <c r="BI102" s="364">
        <v>0</v>
      </c>
      <c r="BJ102" s="364">
        <v>0</v>
      </c>
      <c r="BK102" s="364">
        <v>0</v>
      </c>
      <c r="BL102" s="364">
        <v>0</v>
      </c>
      <c r="BM102" s="364">
        <v>0</v>
      </c>
      <c r="BN102" s="364">
        <v>194.13759999999999</v>
      </c>
      <c r="BO102" s="364">
        <v>194.13759999999999</v>
      </c>
      <c r="BP102" s="364">
        <v>0</v>
      </c>
      <c r="BQ102" s="364">
        <v>0</v>
      </c>
      <c r="BR102" s="364">
        <v>0</v>
      </c>
      <c r="BS102" s="364">
        <v>0</v>
      </c>
      <c r="BT102" s="364"/>
      <c r="BU102" s="364"/>
      <c r="BV102" s="364"/>
      <c r="BW102" s="525"/>
      <c r="BX102" s="524"/>
      <c r="BY102" s="364">
        <v>97.068799999999996</v>
      </c>
      <c r="BZ102" s="364">
        <v>0</v>
      </c>
      <c r="CA102" s="364">
        <v>0</v>
      </c>
      <c r="CB102" s="364">
        <v>0</v>
      </c>
      <c r="CC102" s="364">
        <v>0</v>
      </c>
      <c r="CD102" s="364">
        <v>0</v>
      </c>
      <c r="CE102" s="364">
        <v>0</v>
      </c>
      <c r="CF102" s="364">
        <v>0</v>
      </c>
      <c r="CG102" s="364">
        <v>0</v>
      </c>
      <c r="CH102" s="364">
        <v>0</v>
      </c>
      <c r="CI102" s="364">
        <v>0</v>
      </c>
      <c r="CJ102" s="364">
        <v>0</v>
      </c>
      <c r="CK102" s="364">
        <v>0</v>
      </c>
      <c r="CL102" s="364">
        <v>0</v>
      </c>
      <c r="CM102" s="364">
        <v>0</v>
      </c>
      <c r="CN102" s="364">
        <v>0</v>
      </c>
      <c r="CO102" s="364">
        <v>0</v>
      </c>
      <c r="CP102" s="364">
        <v>0</v>
      </c>
      <c r="CQ102" s="364">
        <v>0</v>
      </c>
      <c r="CR102" s="364">
        <v>0</v>
      </c>
      <c r="CS102" s="364">
        <v>0</v>
      </c>
      <c r="CT102" s="364">
        <v>0</v>
      </c>
      <c r="CU102" s="364">
        <v>0</v>
      </c>
      <c r="CV102" s="364">
        <v>0</v>
      </c>
      <c r="CW102" s="364">
        <v>0</v>
      </c>
      <c r="CX102" s="364">
        <v>0</v>
      </c>
      <c r="CY102" s="364">
        <v>0</v>
      </c>
      <c r="CZ102" s="364">
        <v>0</v>
      </c>
      <c r="DA102" s="364">
        <v>0</v>
      </c>
      <c r="DB102" s="364">
        <v>0</v>
      </c>
      <c r="DC102" s="364">
        <v>0</v>
      </c>
      <c r="DD102" s="364">
        <v>0</v>
      </c>
      <c r="DE102" s="364">
        <v>0</v>
      </c>
      <c r="DF102" s="364">
        <v>0</v>
      </c>
      <c r="DG102" s="364">
        <v>0</v>
      </c>
      <c r="DH102" s="364">
        <v>0</v>
      </c>
      <c r="DI102" s="364">
        <v>0</v>
      </c>
      <c r="DJ102" s="364">
        <v>0</v>
      </c>
      <c r="DK102" s="364"/>
      <c r="DL102" s="364"/>
      <c r="DM102" s="364"/>
      <c r="DN102" s="364"/>
      <c r="DO102" s="364"/>
      <c r="DP102" s="364"/>
      <c r="DQ102" s="364"/>
      <c r="DR102" s="364"/>
      <c r="DS102" s="364"/>
      <c r="DT102" s="364"/>
      <c r="DU102" s="364"/>
      <c r="DV102" s="364"/>
      <c r="DW102" s="649">
        <f t="shared" si="17"/>
        <v>485.34399999999999</v>
      </c>
      <c r="DX102" s="858"/>
      <c r="DY102" s="706"/>
      <c r="DZ102" s="872"/>
      <c r="EA102" s="873"/>
      <c r="EB102" s="859"/>
      <c r="EC102" s="859"/>
      <c r="ED102" s="859"/>
      <c r="EE102" s="859"/>
      <c r="EF102" s="861"/>
      <c r="EG102" s="1107"/>
      <c r="EI102" s="858"/>
      <c r="EJ102" s="877"/>
      <c r="ER102" s="497"/>
    </row>
    <row r="103" spans="1:150" s="278" customFormat="1" ht="24" outlineLevel="2" x14ac:dyDescent="0.2">
      <c r="A103" s="892" t="s">
        <v>452</v>
      </c>
      <c r="B103" s="897" t="s">
        <v>453</v>
      </c>
      <c r="C103" s="902">
        <v>10</v>
      </c>
      <c r="D103" s="863">
        <f>+IFERROR(VLOOKUP(B103,'Detalle Plan de Adquisiciones'!$G$53:$L$153,6,FALSE),0)</f>
        <v>603397200</v>
      </c>
      <c r="E103" s="866" t="str">
        <f>+'Detalle Plan de Adquisiciones'!F105</f>
        <v>INTERVENTORÍA TÉCNICA, ADMINISTRATIVA, FINANCIERA Y AMBIENTAL A LOS CONTRATOS CUYOS OBJETOS SON: CONSTRUCCIÓN DEL PAVIMENTO RÍGIDO, ANDENES Y ESPACIO PUBLICO DE LA CALLE 29 ENTRE CARRERA 1 Y AVENIDA CIRCUNVALAR, ID (212-213) Y LA   RECONSTRUCCIÓN DEL PAVIMENTO RÍGIDO, ANDENES Y ESPACIO PÚBLICO DE LA CALLE 28 ENTRE AVENIDA PRIMERA Y CARRERA 12, ID (214, 215). PERTENECIENTES AL SISTEMA ESTRATÉGICO DE TRANSPORTE PUBLICO "SETP" DE LA CIUDAD DE MONTERÍA.</v>
      </c>
      <c r="F103" s="312" t="s">
        <v>410</v>
      </c>
      <c r="G103" s="354">
        <v>0</v>
      </c>
      <c r="H103" s="354">
        <v>0</v>
      </c>
      <c r="I103" s="354">
        <v>0</v>
      </c>
      <c r="J103" s="354">
        <v>0</v>
      </c>
      <c r="K103" s="354">
        <v>0</v>
      </c>
      <c r="L103" s="354">
        <v>0</v>
      </c>
      <c r="M103" s="354">
        <v>0</v>
      </c>
      <c r="N103" s="354">
        <v>0</v>
      </c>
      <c r="O103" s="354">
        <v>0</v>
      </c>
      <c r="P103" s="354">
        <v>0</v>
      </c>
      <c r="Q103" s="354">
        <v>0</v>
      </c>
      <c r="R103" s="354">
        <v>0</v>
      </c>
      <c r="S103" s="354">
        <v>0</v>
      </c>
      <c r="T103" s="354">
        <v>0</v>
      </c>
      <c r="U103" s="354">
        <v>0</v>
      </c>
      <c r="V103" s="354">
        <v>0</v>
      </c>
      <c r="W103" s="354">
        <v>0</v>
      </c>
      <c r="X103" s="354">
        <v>0</v>
      </c>
      <c r="Y103" s="354">
        <v>0</v>
      </c>
      <c r="Z103" s="354">
        <v>0</v>
      </c>
      <c r="AA103" s="354">
        <v>0</v>
      </c>
      <c r="AB103" s="354">
        <v>0</v>
      </c>
      <c r="AC103" s="354">
        <v>0</v>
      </c>
      <c r="AD103" s="354">
        <v>0</v>
      </c>
      <c r="AE103" s="354">
        <v>0</v>
      </c>
      <c r="AF103" s="354">
        <v>0</v>
      </c>
      <c r="AG103" s="354">
        <v>0</v>
      </c>
      <c r="AH103" s="354">
        <v>0</v>
      </c>
      <c r="AI103" s="354">
        <v>0</v>
      </c>
      <c r="AJ103" s="354">
        <v>0</v>
      </c>
      <c r="AK103" s="354">
        <v>0</v>
      </c>
      <c r="AL103" s="354">
        <v>0</v>
      </c>
      <c r="AM103" s="354">
        <v>0</v>
      </c>
      <c r="AN103" s="354">
        <v>0</v>
      </c>
      <c r="AO103" s="354">
        <v>0</v>
      </c>
      <c r="AP103" s="354">
        <v>0</v>
      </c>
      <c r="AQ103" s="354">
        <v>0</v>
      </c>
      <c r="AR103" s="354">
        <v>0</v>
      </c>
      <c r="AS103" s="354">
        <v>0</v>
      </c>
      <c r="AT103" s="354">
        <v>0</v>
      </c>
      <c r="AU103" s="354">
        <v>0</v>
      </c>
      <c r="AV103" s="354">
        <v>0</v>
      </c>
      <c r="AW103" s="354">
        <v>0</v>
      </c>
      <c r="AX103" s="354">
        <v>0</v>
      </c>
      <c r="AY103" s="354">
        <v>0</v>
      </c>
      <c r="AZ103" s="354">
        <v>0</v>
      </c>
      <c r="BA103" s="354">
        <v>0</v>
      </c>
      <c r="BB103" s="354">
        <v>0</v>
      </c>
      <c r="BC103" s="354">
        <v>0</v>
      </c>
      <c r="BD103" s="354">
        <v>0</v>
      </c>
      <c r="BE103" s="354">
        <v>0</v>
      </c>
      <c r="BF103" s="354">
        <v>0</v>
      </c>
      <c r="BG103" s="354">
        <v>0</v>
      </c>
      <c r="BH103" s="354">
        <v>0</v>
      </c>
      <c r="BI103" s="354">
        <v>48.271776000000003</v>
      </c>
      <c r="BJ103" s="354">
        <v>0</v>
      </c>
      <c r="BK103" s="354">
        <v>96.543552000000005</v>
      </c>
      <c r="BL103" s="354">
        <v>96.543552000000005</v>
      </c>
      <c r="BM103" s="354">
        <v>0</v>
      </c>
      <c r="BN103" s="354">
        <v>48.271776000000003</v>
      </c>
      <c r="BO103" s="354">
        <v>48.271776000000003</v>
      </c>
      <c r="BP103" s="354">
        <v>0</v>
      </c>
      <c r="BQ103" s="354">
        <v>48.271776000000003</v>
      </c>
      <c r="BR103" s="354">
        <v>0</v>
      </c>
      <c r="BS103" s="354">
        <v>0</v>
      </c>
      <c r="BT103" s="354"/>
      <c r="BU103" s="354">
        <v>217.222992</v>
      </c>
      <c r="BV103" s="354">
        <v>0</v>
      </c>
      <c r="BW103" s="354">
        <v>0</v>
      </c>
      <c r="BX103" s="354">
        <v>0</v>
      </c>
      <c r="BY103" s="354">
        <v>0</v>
      </c>
      <c r="BZ103" s="354">
        <v>0</v>
      </c>
      <c r="CA103" s="560">
        <v>0</v>
      </c>
      <c r="CB103" s="560">
        <v>0</v>
      </c>
      <c r="CC103" s="560">
        <v>0</v>
      </c>
      <c r="CD103" s="560">
        <v>0</v>
      </c>
      <c r="CE103" s="560">
        <v>0</v>
      </c>
      <c r="CF103" s="560">
        <v>0</v>
      </c>
      <c r="CG103" s="560">
        <v>0</v>
      </c>
      <c r="CH103" s="560">
        <v>0</v>
      </c>
      <c r="CI103" s="560">
        <v>0</v>
      </c>
      <c r="CJ103" s="560">
        <v>0</v>
      </c>
      <c r="CK103" s="560">
        <v>0</v>
      </c>
      <c r="CL103" s="560">
        <v>0</v>
      </c>
      <c r="CM103" s="354">
        <v>0</v>
      </c>
      <c r="CN103" s="354">
        <v>0</v>
      </c>
      <c r="CO103" s="354">
        <v>0</v>
      </c>
      <c r="CP103" s="354">
        <v>0</v>
      </c>
      <c r="CQ103" s="354">
        <v>0</v>
      </c>
      <c r="CR103" s="354">
        <v>0</v>
      </c>
      <c r="CS103" s="354">
        <v>0</v>
      </c>
      <c r="CT103" s="354">
        <v>0</v>
      </c>
      <c r="CU103" s="354">
        <v>0</v>
      </c>
      <c r="CV103" s="354">
        <v>0</v>
      </c>
      <c r="CW103" s="354">
        <v>0</v>
      </c>
      <c r="CX103" s="354">
        <v>0</v>
      </c>
      <c r="CY103" s="354"/>
      <c r="CZ103" s="354"/>
      <c r="DA103" s="354"/>
      <c r="DB103" s="354"/>
      <c r="DC103" s="354"/>
      <c r="DD103" s="354"/>
      <c r="DE103" s="354"/>
      <c r="DF103" s="354"/>
      <c r="DG103" s="354"/>
      <c r="DH103" s="354"/>
      <c r="DI103" s="354"/>
      <c r="DJ103" s="354"/>
      <c r="DK103" s="354"/>
      <c r="DL103" s="354"/>
      <c r="DM103" s="354"/>
      <c r="DN103" s="354"/>
      <c r="DO103" s="354"/>
      <c r="DP103" s="354"/>
      <c r="DQ103" s="354"/>
      <c r="DR103" s="354"/>
      <c r="DS103" s="354"/>
      <c r="DT103" s="354"/>
      <c r="DU103" s="354"/>
      <c r="DV103" s="354"/>
      <c r="DW103" s="543">
        <f t="shared" si="17"/>
        <v>603.3972</v>
      </c>
      <c r="DX103" s="858">
        <f>DW103+DW104+DW105</f>
        <v>603.3972</v>
      </c>
      <c r="DY103" s="704">
        <f>+DX103*1000000</f>
        <v>603397200</v>
      </c>
      <c r="DZ103" s="870">
        <f>+DY103-D103</f>
        <v>0</v>
      </c>
      <c r="EA103" s="873">
        <f>VLOOKUP(POA!$B103,INTERPLAN,28,0)</f>
        <v>41744</v>
      </c>
      <c r="EB103" s="859">
        <f>+EDATE(EA103,C103)</f>
        <v>42050</v>
      </c>
      <c r="EC103" s="859">
        <f>EB103+30</f>
        <v>42080</v>
      </c>
      <c r="ED103" s="859" t="str">
        <f>CONCATENATE(MONTH(EA103),"-",YEAR(EA103))</f>
        <v>4-2014</v>
      </c>
      <c r="EE103" s="859" t="str">
        <f>CONCATENATE(MONTH(EB103),"-",YEAR(EB103))</f>
        <v>2-2015</v>
      </c>
      <c r="EF103" s="861" t="str">
        <f>CONCATENATE(MONTH(EC103),"-",YEAR(EC103))</f>
        <v>3-2015</v>
      </c>
      <c r="EG103" s="1105">
        <f>+YEAR(EA103)</f>
        <v>2014</v>
      </c>
      <c r="EH103" s="393">
        <f>+DY103</f>
        <v>603397200</v>
      </c>
      <c r="EI103" s="858">
        <f>+DW103+DW104+DW105</f>
        <v>603.3972</v>
      </c>
      <c r="EJ103" s="877">
        <f>+D103/1000000-EI103</f>
        <v>0</v>
      </c>
      <c r="ER103" s="497"/>
    </row>
    <row r="104" spans="1:150" s="278" customFormat="1" outlineLevel="2" x14ac:dyDescent="0.2">
      <c r="A104" s="893"/>
      <c r="B104" s="886"/>
      <c r="C104" s="903"/>
      <c r="D104" s="864"/>
      <c r="E104" s="867"/>
      <c r="F104" s="311" t="s">
        <v>210</v>
      </c>
      <c r="G104" s="363">
        <v>0</v>
      </c>
      <c r="H104" s="363">
        <v>0</v>
      </c>
      <c r="I104" s="363">
        <v>0</v>
      </c>
      <c r="J104" s="363">
        <v>0</v>
      </c>
      <c r="K104" s="363">
        <v>0</v>
      </c>
      <c r="L104" s="363">
        <v>0</v>
      </c>
      <c r="M104" s="363">
        <v>0</v>
      </c>
      <c r="N104" s="363">
        <v>0</v>
      </c>
      <c r="O104" s="363">
        <v>0</v>
      </c>
      <c r="P104" s="363">
        <v>0</v>
      </c>
      <c r="Q104" s="363">
        <v>0</v>
      </c>
      <c r="R104" s="363">
        <v>0</v>
      </c>
      <c r="S104" s="363">
        <v>0</v>
      </c>
      <c r="T104" s="363">
        <v>0</v>
      </c>
      <c r="U104" s="363">
        <v>0</v>
      </c>
      <c r="V104" s="363">
        <v>0</v>
      </c>
      <c r="W104" s="363">
        <v>0</v>
      </c>
      <c r="X104" s="363">
        <v>0</v>
      </c>
      <c r="Y104" s="363">
        <v>0</v>
      </c>
      <c r="Z104" s="363">
        <v>0</v>
      </c>
      <c r="AA104" s="363">
        <v>0</v>
      </c>
      <c r="AB104" s="363">
        <v>0</v>
      </c>
      <c r="AC104" s="363">
        <v>0</v>
      </c>
      <c r="AD104" s="363">
        <v>0</v>
      </c>
      <c r="AE104" s="363">
        <v>0</v>
      </c>
      <c r="AF104" s="363">
        <v>0</v>
      </c>
      <c r="AG104" s="363">
        <v>0</v>
      </c>
      <c r="AH104" s="363">
        <v>0</v>
      </c>
      <c r="AI104" s="363">
        <v>0</v>
      </c>
      <c r="AJ104" s="363">
        <v>0</v>
      </c>
      <c r="AK104" s="363">
        <v>0</v>
      </c>
      <c r="AL104" s="363">
        <v>0</v>
      </c>
      <c r="AM104" s="363">
        <v>0</v>
      </c>
      <c r="AN104" s="363">
        <v>0</v>
      </c>
      <c r="AO104" s="363">
        <v>0</v>
      </c>
      <c r="AP104" s="363">
        <v>0</v>
      </c>
      <c r="AQ104" s="363">
        <v>0</v>
      </c>
      <c r="AR104" s="363">
        <v>0</v>
      </c>
      <c r="AS104" s="363">
        <v>0</v>
      </c>
      <c r="AT104" s="363">
        <v>0</v>
      </c>
      <c r="AU104" s="363">
        <v>0</v>
      </c>
      <c r="AV104" s="363">
        <v>0</v>
      </c>
      <c r="AW104" s="363">
        <v>0</v>
      </c>
      <c r="AX104" s="363">
        <v>0</v>
      </c>
      <c r="AY104" s="363">
        <v>0</v>
      </c>
      <c r="AZ104" s="363">
        <v>0</v>
      </c>
      <c r="BA104" s="363">
        <v>0</v>
      </c>
      <c r="BB104" s="363">
        <v>0</v>
      </c>
      <c r="BC104" s="363">
        <v>0</v>
      </c>
      <c r="BD104" s="363">
        <v>0</v>
      </c>
      <c r="BE104" s="363">
        <v>0</v>
      </c>
      <c r="BF104" s="363">
        <v>0</v>
      </c>
      <c r="BG104" s="363">
        <v>0</v>
      </c>
      <c r="BH104" s="363">
        <v>0</v>
      </c>
      <c r="BI104" s="363">
        <v>0</v>
      </c>
      <c r="BJ104" s="363">
        <v>0</v>
      </c>
      <c r="BK104" s="363">
        <v>0</v>
      </c>
      <c r="BL104" s="363">
        <v>0</v>
      </c>
      <c r="BM104" s="363">
        <v>0</v>
      </c>
      <c r="BN104" s="363">
        <v>0</v>
      </c>
      <c r="BO104" s="363">
        <v>0</v>
      </c>
      <c r="BP104" s="363">
        <v>0</v>
      </c>
      <c r="BQ104" s="363">
        <v>0</v>
      </c>
      <c r="BR104" s="363">
        <v>0</v>
      </c>
      <c r="BS104" s="363">
        <v>0</v>
      </c>
      <c r="BT104" s="363">
        <v>0</v>
      </c>
      <c r="BU104" s="363">
        <v>0</v>
      </c>
      <c r="BV104" s="363">
        <v>0</v>
      </c>
      <c r="BW104" s="363">
        <v>0</v>
      </c>
      <c r="BX104" s="363">
        <v>0</v>
      </c>
      <c r="BY104" s="363">
        <v>0</v>
      </c>
      <c r="BZ104" s="363">
        <v>0</v>
      </c>
      <c r="CA104" s="363">
        <v>0</v>
      </c>
      <c r="CB104" s="363">
        <v>0</v>
      </c>
      <c r="CC104" s="363">
        <v>0</v>
      </c>
      <c r="CD104" s="363">
        <v>0</v>
      </c>
      <c r="CE104" s="363">
        <v>0</v>
      </c>
      <c r="CF104" s="363">
        <v>0</v>
      </c>
      <c r="CG104" s="363">
        <v>0</v>
      </c>
      <c r="CH104" s="363">
        <v>0</v>
      </c>
      <c r="CI104" s="363">
        <v>0</v>
      </c>
      <c r="CJ104" s="363">
        <v>0</v>
      </c>
      <c r="CK104" s="363">
        <v>0</v>
      </c>
      <c r="CL104" s="363">
        <v>0</v>
      </c>
      <c r="CM104" s="363">
        <v>0</v>
      </c>
      <c r="CN104" s="363">
        <v>0</v>
      </c>
      <c r="CO104" s="363">
        <v>0</v>
      </c>
      <c r="CP104" s="363">
        <v>0</v>
      </c>
      <c r="CQ104" s="363">
        <v>0</v>
      </c>
      <c r="CR104" s="363">
        <v>0</v>
      </c>
      <c r="CS104" s="363">
        <v>0</v>
      </c>
      <c r="CT104" s="363">
        <v>0</v>
      </c>
      <c r="CU104" s="363">
        <v>0</v>
      </c>
      <c r="CV104" s="363">
        <v>0</v>
      </c>
      <c r="CW104" s="363">
        <v>0</v>
      </c>
      <c r="CX104" s="363">
        <v>0</v>
      </c>
      <c r="CY104" s="363"/>
      <c r="CZ104" s="363"/>
      <c r="DA104" s="363"/>
      <c r="DB104" s="363"/>
      <c r="DC104" s="363"/>
      <c r="DD104" s="363"/>
      <c r="DE104" s="363"/>
      <c r="DF104" s="363"/>
      <c r="DG104" s="363"/>
      <c r="DH104" s="363"/>
      <c r="DI104" s="363"/>
      <c r="DJ104" s="363"/>
      <c r="DK104" s="363"/>
      <c r="DL104" s="363"/>
      <c r="DM104" s="363"/>
      <c r="DN104" s="363"/>
      <c r="DO104" s="363"/>
      <c r="DP104" s="363"/>
      <c r="DQ104" s="363"/>
      <c r="DR104" s="363"/>
      <c r="DS104" s="363"/>
      <c r="DT104" s="363"/>
      <c r="DU104" s="363"/>
      <c r="DV104" s="363"/>
      <c r="DW104" s="544">
        <f t="shared" si="17"/>
        <v>0</v>
      </c>
      <c r="DX104" s="858"/>
      <c r="DY104" s="705"/>
      <c r="DZ104" s="871"/>
      <c r="EA104" s="873"/>
      <c r="EB104" s="859"/>
      <c r="EC104" s="859"/>
      <c r="ED104" s="859"/>
      <c r="EE104" s="859"/>
      <c r="EF104" s="861"/>
      <c r="EG104" s="1106"/>
      <c r="EI104" s="858"/>
      <c r="EJ104" s="877"/>
      <c r="ER104" s="497"/>
    </row>
    <row r="105" spans="1:150" s="278" customFormat="1" ht="12.75" outlineLevel="2" thickBot="1" x14ac:dyDescent="0.25">
      <c r="A105" s="894"/>
      <c r="B105" s="887"/>
      <c r="C105" s="904"/>
      <c r="D105" s="865"/>
      <c r="E105" s="868"/>
      <c r="F105" s="315" t="s">
        <v>211</v>
      </c>
      <c r="G105" s="364">
        <v>0</v>
      </c>
      <c r="H105" s="364">
        <v>0</v>
      </c>
      <c r="I105" s="364">
        <v>0</v>
      </c>
      <c r="J105" s="364">
        <v>0</v>
      </c>
      <c r="K105" s="364">
        <v>0</v>
      </c>
      <c r="L105" s="364">
        <v>0</v>
      </c>
      <c r="M105" s="364">
        <v>0</v>
      </c>
      <c r="N105" s="364">
        <v>0</v>
      </c>
      <c r="O105" s="364">
        <v>0</v>
      </c>
      <c r="P105" s="364">
        <v>0</v>
      </c>
      <c r="Q105" s="364">
        <v>0</v>
      </c>
      <c r="R105" s="364">
        <v>0</v>
      </c>
      <c r="S105" s="364">
        <v>0</v>
      </c>
      <c r="T105" s="364">
        <v>0</v>
      </c>
      <c r="U105" s="364">
        <v>0</v>
      </c>
      <c r="V105" s="364">
        <v>0</v>
      </c>
      <c r="W105" s="364">
        <v>0</v>
      </c>
      <c r="X105" s="364">
        <v>0</v>
      </c>
      <c r="Y105" s="364">
        <v>0</v>
      </c>
      <c r="Z105" s="364">
        <v>0</v>
      </c>
      <c r="AA105" s="364">
        <v>0</v>
      </c>
      <c r="AB105" s="364">
        <v>0</v>
      </c>
      <c r="AC105" s="364">
        <v>0</v>
      </c>
      <c r="AD105" s="364">
        <v>0</v>
      </c>
      <c r="AE105" s="364">
        <v>0</v>
      </c>
      <c r="AF105" s="364">
        <v>0</v>
      </c>
      <c r="AG105" s="364">
        <v>0</v>
      </c>
      <c r="AH105" s="364">
        <v>0</v>
      </c>
      <c r="AI105" s="364">
        <v>0</v>
      </c>
      <c r="AJ105" s="364">
        <v>0</v>
      </c>
      <c r="AK105" s="364">
        <v>0</v>
      </c>
      <c r="AL105" s="364">
        <v>0</v>
      </c>
      <c r="AM105" s="364">
        <v>0</v>
      </c>
      <c r="AN105" s="364">
        <v>0</v>
      </c>
      <c r="AO105" s="364">
        <v>0</v>
      </c>
      <c r="AP105" s="364">
        <v>0</v>
      </c>
      <c r="AQ105" s="364">
        <v>0</v>
      </c>
      <c r="AR105" s="364">
        <v>0</v>
      </c>
      <c r="AS105" s="364">
        <v>0</v>
      </c>
      <c r="AT105" s="364">
        <v>0</v>
      </c>
      <c r="AU105" s="364">
        <v>0</v>
      </c>
      <c r="AV105" s="364">
        <v>0</v>
      </c>
      <c r="AW105" s="364">
        <v>0</v>
      </c>
      <c r="AX105" s="364">
        <v>0</v>
      </c>
      <c r="AY105" s="364">
        <v>0</v>
      </c>
      <c r="AZ105" s="364">
        <v>0</v>
      </c>
      <c r="BA105" s="364">
        <v>0</v>
      </c>
      <c r="BB105" s="364">
        <v>0</v>
      </c>
      <c r="BC105" s="364">
        <v>0</v>
      </c>
      <c r="BD105" s="364">
        <v>0</v>
      </c>
      <c r="BE105" s="364">
        <v>0</v>
      </c>
      <c r="BF105" s="364">
        <v>0</v>
      </c>
      <c r="BG105" s="364"/>
      <c r="BH105" s="364">
        <v>0</v>
      </c>
      <c r="BI105" s="364">
        <v>0</v>
      </c>
      <c r="BJ105" s="364">
        <v>0</v>
      </c>
      <c r="BK105" s="364">
        <v>0</v>
      </c>
      <c r="BL105" s="364">
        <v>0</v>
      </c>
      <c r="BM105" s="364">
        <v>0</v>
      </c>
      <c r="BN105" s="364">
        <v>0</v>
      </c>
      <c r="BO105" s="364">
        <v>0</v>
      </c>
      <c r="BP105" s="364">
        <v>0</v>
      </c>
      <c r="BQ105" s="364">
        <v>0</v>
      </c>
      <c r="BR105" s="364">
        <v>0</v>
      </c>
      <c r="BS105" s="364">
        <v>0</v>
      </c>
      <c r="BT105" s="364">
        <v>0</v>
      </c>
      <c r="BU105" s="364">
        <v>0</v>
      </c>
      <c r="BV105" s="364">
        <v>0</v>
      </c>
      <c r="BW105" s="364">
        <v>0</v>
      </c>
      <c r="BX105" s="364">
        <v>0</v>
      </c>
      <c r="BY105" s="364">
        <v>0</v>
      </c>
      <c r="BZ105" s="364">
        <v>0</v>
      </c>
      <c r="CA105" s="364">
        <v>0</v>
      </c>
      <c r="CB105" s="364">
        <v>0</v>
      </c>
      <c r="CC105" s="364">
        <v>0</v>
      </c>
      <c r="CD105" s="364">
        <v>0</v>
      </c>
      <c r="CE105" s="364">
        <v>0</v>
      </c>
      <c r="CF105" s="364">
        <v>0</v>
      </c>
      <c r="CG105" s="364">
        <v>0</v>
      </c>
      <c r="CH105" s="364">
        <v>0</v>
      </c>
      <c r="CI105" s="364">
        <v>0</v>
      </c>
      <c r="CJ105" s="364">
        <v>0</v>
      </c>
      <c r="CK105" s="364">
        <v>0</v>
      </c>
      <c r="CL105" s="364">
        <v>0</v>
      </c>
      <c r="CM105" s="364">
        <v>0</v>
      </c>
      <c r="CN105" s="364">
        <v>0</v>
      </c>
      <c r="CO105" s="364">
        <v>0</v>
      </c>
      <c r="CP105" s="364">
        <v>0</v>
      </c>
      <c r="CQ105" s="364">
        <v>0</v>
      </c>
      <c r="CR105" s="364">
        <v>0</v>
      </c>
      <c r="CS105" s="364">
        <v>0</v>
      </c>
      <c r="CT105" s="364">
        <v>0</v>
      </c>
      <c r="CU105" s="364">
        <v>0</v>
      </c>
      <c r="CV105" s="364">
        <v>0</v>
      </c>
      <c r="CW105" s="364">
        <v>0</v>
      </c>
      <c r="CX105" s="364">
        <v>0</v>
      </c>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649">
        <f t="shared" si="17"/>
        <v>0</v>
      </c>
      <c r="DX105" s="858"/>
      <c r="DY105" s="706"/>
      <c r="DZ105" s="872"/>
      <c r="EA105" s="873"/>
      <c r="EB105" s="859"/>
      <c r="EC105" s="859"/>
      <c r="ED105" s="859"/>
      <c r="EE105" s="859"/>
      <c r="EF105" s="861"/>
      <c r="EG105" s="1107"/>
      <c r="EI105" s="858"/>
      <c r="EJ105" s="877"/>
      <c r="ER105" s="497"/>
    </row>
    <row r="106" spans="1:150" s="278" customFormat="1" ht="12" customHeight="1" outlineLevel="2" x14ac:dyDescent="0.2">
      <c r="A106" s="892" t="s">
        <v>562</v>
      </c>
      <c r="B106" s="897" t="s">
        <v>561</v>
      </c>
      <c r="C106" s="902">
        <v>9</v>
      </c>
      <c r="D106" s="863">
        <f>+IFERROR(VLOOKUP(B106,'Detalle Plan de Adquisiciones'!$G$53:$L$153,6,FALSE),0)</f>
        <v>587208462</v>
      </c>
      <c r="E106" s="866" t="str">
        <f>+'Detalle Plan de Adquisiciones'!F106</f>
        <v>INTERVENTORÍA TÉCNICA, ADMINISTRATIVA, FINANCIERA Y AMBIENTAL A LOS CONTRATOS CUYOS OBJETOS SON: PRIMERA ETAPA PARA LA CONSTRUCCIÓN DEL PAVIMENTO RÍGIDO, ANDENES Y ESPACIO PUBLICO DE LA CARRERA 2 ENTRE AVENIDA CIRCUNVALAR (CALLE 20) Y CALLE 32, ID (204-205-206) Y LA CONSTRUCCIÓN DEL INTERCAMBIADOR VIAL SUR 1 [IV 5].  PERTENECIENTES AL SISTEMA ESTRATÉGICO DE TRANSPORTE PUBLICO DE PASAJEROS "SETP" DE LA CIUDAD DE MONTERÍA</v>
      </c>
      <c r="F106" s="312" t="s">
        <v>410</v>
      </c>
      <c r="G106" s="354">
        <v>0</v>
      </c>
      <c r="H106" s="354">
        <v>0</v>
      </c>
      <c r="I106" s="354">
        <v>0</v>
      </c>
      <c r="J106" s="354">
        <v>0</v>
      </c>
      <c r="K106" s="354">
        <v>0</v>
      </c>
      <c r="L106" s="354">
        <v>0</v>
      </c>
      <c r="M106" s="354">
        <v>0</v>
      </c>
      <c r="N106" s="354">
        <v>0</v>
      </c>
      <c r="O106" s="354">
        <v>0</v>
      </c>
      <c r="P106" s="354">
        <v>0</v>
      </c>
      <c r="Q106" s="354">
        <v>0</v>
      </c>
      <c r="R106" s="354">
        <v>0</v>
      </c>
      <c r="S106" s="354">
        <v>0</v>
      </c>
      <c r="T106" s="354">
        <v>0</v>
      </c>
      <c r="U106" s="354">
        <v>0</v>
      </c>
      <c r="V106" s="354">
        <v>0</v>
      </c>
      <c r="W106" s="354">
        <v>0</v>
      </c>
      <c r="X106" s="354">
        <v>0</v>
      </c>
      <c r="Y106" s="354">
        <v>0</v>
      </c>
      <c r="Z106" s="354">
        <v>0</v>
      </c>
      <c r="AA106" s="354">
        <v>0</v>
      </c>
      <c r="AB106" s="354">
        <v>0</v>
      </c>
      <c r="AC106" s="354">
        <v>0</v>
      </c>
      <c r="AD106" s="354">
        <v>0</v>
      </c>
      <c r="AE106" s="354">
        <v>0</v>
      </c>
      <c r="AF106" s="354">
        <v>0</v>
      </c>
      <c r="AG106" s="354">
        <v>0</v>
      </c>
      <c r="AH106" s="354">
        <v>0</v>
      </c>
      <c r="AI106" s="354">
        <v>0</v>
      </c>
      <c r="AJ106" s="354">
        <v>0</v>
      </c>
      <c r="AK106" s="354">
        <v>0</v>
      </c>
      <c r="AL106" s="354">
        <v>0</v>
      </c>
      <c r="AM106" s="354">
        <v>0</v>
      </c>
      <c r="AN106" s="354">
        <v>0</v>
      </c>
      <c r="AO106" s="354">
        <v>0</v>
      </c>
      <c r="AP106" s="354">
        <v>0</v>
      </c>
      <c r="AQ106" s="354">
        <v>0</v>
      </c>
      <c r="AR106" s="354">
        <v>0</v>
      </c>
      <c r="AS106" s="354">
        <v>0</v>
      </c>
      <c r="AT106" s="354">
        <v>0</v>
      </c>
      <c r="AU106" s="354">
        <v>0</v>
      </c>
      <c r="AV106" s="354">
        <v>0</v>
      </c>
      <c r="AW106" s="354">
        <v>0</v>
      </c>
      <c r="AX106" s="354">
        <v>0</v>
      </c>
      <c r="AY106" s="354">
        <v>0</v>
      </c>
      <c r="AZ106" s="354">
        <v>0</v>
      </c>
      <c r="BA106" s="354">
        <v>0</v>
      </c>
      <c r="BB106" s="354">
        <v>0</v>
      </c>
      <c r="BC106" s="354">
        <v>0</v>
      </c>
      <c r="BD106" s="354">
        <v>0</v>
      </c>
      <c r="BE106" s="354">
        <v>0</v>
      </c>
      <c r="BF106" s="354">
        <v>0</v>
      </c>
      <c r="BG106" s="354">
        <v>0</v>
      </c>
      <c r="BH106" s="354">
        <v>0</v>
      </c>
      <c r="BI106" s="354">
        <v>0</v>
      </c>
      <c r="BJ106" s="354">
        <v>0</v>
      </c>
      <c r="BK106" s="354">
        <v>0</v>
      </c>
      <c r="BL106" s="354">
        <v>0</v>
      </c>
      <c r="BM106" s="354">
        <v>0</v>
      </c>
      <c r="BN106" s="354">
        <v>0</v>
      </c>
      <c r="BO106" s="354">
        <v>0</v>
      </c>
      <c r="BP106" s="354">
        <v>0</v>
      </c>
      <c r="BQ106" s="354">
        <v>0</v>
      </c>
      <c r="BR106" s="354">
        <v>0</v>
      </c>
      <c r="BS106" s="354">
        <v>0</v>
      </c>
      <c r="BT106" s="354">
        <v>0</v>
      </c>
      <c r="BU106" s="354">
        <v>0</v>
      </c>
      <c r="BV106" s="354">
        <v>0</v>
      </c>
      <c r="BW106" s="354">
        <v>0</v>
      </c>
      <c r="BX106" s="354">
        <v>0</v>
      </c>
      <c r="BY106" s="354">
        <v>0</v>
      </c>
      <c r="BZ106" s="354">
        <v>0</v>
      </c>
      <c r="CA106" s="560">
        <v>0</v>
      </c>
      <c r="CB106" s="560">
        <v>0</v>
      </c>
      <c r="CC106" s="560">
        <v>0</v>
      </c>
      <c r="CD106" s="560">
        <v>0</v>
      </c>
      <c r="CE106" s="560">
        <v>0</v>
      </c>
      <c r="CF106" s="560">
        <v>0</v>
      </c>
      <c r="CG106" s="560">
        <v>0</v>
      </c>
      <c r="CH106" s="560">
        <v>0</v>
      </c>
      <c r="CI106" s="560">
        <v>0</v>
      </c>
      <c r="CJ106" s="560">
        <v>0</v>
      </c>
      <c r="CK106" s="560">
        <v>0</v>
      </c>
      <c r="CL106" s="560">
        <v>0</v>
      </c>
      <c r="CM106" s="354">
        <v>0</v>
      </c>
      <c r="CN106" s="354">
        <v>0</v>
      </c>
      <c r="CO106" s="354">
        <v>0</v>
      </c>
      <c r="CP106" s="354">
        <v>0</v>
      </c>
      <c r="CQ106" s="354">
        <v>0</v>
      </c>
      <c r="CR106" s="354">
        <v>0</v>
      </c>
      <c r="CS106" s="354">
        <v>0</v>
      </c>
      <c r="CT106" s="354">
        <v>0</v>
      </c>
      <c r="CU106" s="354">
        <v>0</v>
      </c>
      <c r="CV106" s="354">
        <v>0</v>
      </c>
      <c r="CW106" s="354">
        <v>0</v>
      </c>
      <c r="CX106" s="354">
        <v>0</v>
      </c>
      <c r="CY106" s="354">
        <v>0</v>
      </c>
      <c r="CZ106" s="354">
        <v>0</v>
      </c>
      <c r="DA106" s="354">
        <v>0</v>
      </c>
      <c r="DB106" s="354">
        <v>0</v>
      </c>
      <c r="DC106" s="354">
        <v>0</v>
      </c>
      <c r="DD106" s="354">
        <v>0</v>
      </c>
      <c r="DE106" s="354">
        <v>0</v>
      </c>
      <c r="DF106" s="354">
        <v>0</v>
      </c>
      <c r="DG106" s="354">
        <v>0</v>
      </c>
      <c r="DH106" s="354">
        <v>0</v>
      </c>
      <c r="DI106" s="354">
        <v>0</v>
      </c>
      <c r="DJ106" s="354">
        <v>0</v>
      </c>
      <c r="DK106" s="354"/>
      <c r="DL106" s="354"/>
      <c r="DM106" s="354"/>
      <c r="DN106" s="354"/>
      <c r="DO106" s="354"/>
      <c r="DP106" s="354"/>
      <c r="DQ106" s="354"/>
      <c r="DR106" s="354"/>
      <c r="DS106" s="354"/>
      <c r="DT106" s="354"/>
      <c r="DU106" s="354"/>
      <c r="DV106" s="354"/>
      <c r="DW106" s="543">
        <f t="shared" si="17"/>
        <v>0</v>
      </c>
      <c r="DX106" s="858">
        <f>DW106+DW107+DW108</f>
        <v>587.20846200000005</v>
      </c>
      <c r="DY106" s="704">
        <f>+DX106*1000000</f>
        <v>587208462</v>
      </c>
      <c r="DZ106" s="870">
        <f>+DY106-D106</f>
        <v>0</v>
      </c>
      <c r="EA106" s="873">
        <f>VLOOKUP(POA!$B106,INTERPLAN,28,0)</f>
        <v>42262</v>
      </c>
      <c r="EB106" s="859">
        <f>+EDATE(EA106,C106)</f>
        <v>42536</v>
      </c>
      <c r="EC106" s="859">
        <f>EB106+30</f>
        <v>42566</v>
      </c>
      <c r="ED106" s="859" t="str">
        <f>CONCATENATE(MONTH(EA106),"-",YEAR(EA106))</f>
        <v>9-2015</v>
      </c>
      <c r="EE106" s="859" t="str">
        <f>CONCATENATE(MONTH(EB106),"-",YEAR(EB106))</f>
        <v>6-2016</v>
      </c>
      <c r="EF106" s="861" t="str">
        <f>CONCATENATE(MONTH(EC106),"-",YEAR(EC106))</f>
        <v>7-2016</v>
      </c>
      <c r="EG106" s="1105">
        <f>+YEAR(EA106)</f>
        <v>2015</v>
      </c>
      <c r="EH106" s="393">
        <f>+DY106</f>
        <v>587208462</v>
      </c>
      <c r="EI106" s="858">
        <f>+DW106+DW107+DW108</f>
        <v>587.20846200000005</v>
      </c>
      <c r="EJ106" s="877">
        <f>+D106/1000000-EI106</f>
        <v>0</v>
      </c>
      <c r="ER106" s="497"/>
    </row>
    <row r="107" spans="1:150" s="278" customFormat="1" ht="12" customHeight="1" outlineLevel="2" x14ac:dyDescent="0.2">
      <c r="A107" s="893"/>
      <c r="B107" s="886"/>
      <c r="C107" s="903"/>
      <c r="D107" s="864"/>
      <c r="E107" s="867"/>
      <c r="F107" s="311" t="s">
        <v>210</v>
      </c>
      <c r="G107" s="363">
        <v>0</v>
      </c>
      <c r="H107" s="363">
        <v>0</v>
      </c>
      <c r="I107" s="363">
        <v>0</v>
      </c>
      <c r="J107" s="363">
        <v>0</v>
      </c>
      <c r="K107" s="363">
        <v>0</v>
      </c>
      <c r="L107" s="363">
        <v>0</v>
      </c>
      <c r="M107" s="363">
        <v>0</v>
      </c>
      <c r="N107" s="363">
        <v>0</v>
      </c>
      <c r="O107" s="363">
        <v>0</v>
      </c>
      <c r="P107" s="363">
        <v>0</v>
      </c>
      <c r="Q107" s="363">
        <v>0</v>
      </c>
      <c r="R107" s="363">
        <v>0</v>
      </c>
      <c r="S107" s="363">
        <v>0</v>
      </c>
      <c r="T107" s="363">
        <v>0</v>
      </c>
      <c r="U107" s="363">
        <v>0</v>
      </c>
      <c r="V107" s="363">
        <v>0</v>
      </c>
      <c r="W107" s="363">
        <v>0</v>
      </c>
      <c r="X107" s="363">
        <v>0</v>
      </c>
      <c r="Y107" s="363">
        <v>0</v>
      </c>
      <c r="Z107" s="363">
        <v>0</v>
      </c>
      <c r="AA107" s="363">
        <v>0</v>
      </c>
      <c r="AB107" s="363">
        <v>0</v>
      </c>
      <c r="AC107" s="363">
        <v>0</v>
      </c>
      <c r="AD107" s="363">
        <v>0</v>
      </c>
      <c r="AE107" s="363">
        <v>0</v>
      </c>
      <c r="AF107" s="363">
        <v>0</v>
      </c>
      <c r="AG107" s="363">
        <v>0</v>
      </c>
      <c r="AH107" s="363">
        <v>0</v>
      </c>
      <c r="AI107" s="363">
        <v>0</v>
      </c>
      <c r="AJ107" s="363">
        <v>0</v>
      </c>
      <c r="AK107" s="363">
        <v>0</v>
      </c>
      <c r="AL107" s="363">
        <v>0</v>
      </c>
      <c r="AM107" s="363">
        <v>0</v>
      </c>
      <c r="AN107" s="363">
        <v>0</v>
      </c>
      <c r="AO107" s="363">
        <v>0</v>
      </c>
      <c r="AP107" s="363">
        <v>0</v>
      </c>
      <c r="AQ107" s="363">
        <v>0</v>
      </c>
      <c r="AR107" s="363">
        <v>0</v>
      </c>
      <c r="AS107" s="363">
        <v>0</v>
      </c>
      <c r="AT107" s="363">
        <v>0</v>
      </c>
      <c r="AU107" s="363">
        <v>0</v>
      </c>
      <c r="AV107" s="363">
        <v>0</v>
      </c>
      <c r="AW107" s="363">
        <v>0</v>
      </c>
      <c r="AX107" s="363">
        <v>0</v>
      </c>
      <c r="AY107" s="363">
        <v>0</v>
      </c>
      <c r="AZ107" s="363">
        <v>0</v>
      </c>
      <c r="BA107" s="363">
        <v>0</v>
      </c>
      <c r="BB107" s="363">
        <v>0</v>
      </c>
      <c r="BC107" s="363">
        <v>0</v>
      </c>
      <c r="BD107" s="363">
        <v>0</v>
      </c>
      <c r="BE107" s="363">
        <v>0</v>
      </c>
      <c r="BF107" s="363">
        <v>0</v>
      </c>
      <c r="BG107" s="363">
        <v>0</v>
      </c>
      <c r="BH107" s="363">
        <v>0</v>
      </c>
      <c r="BI107" s="363">
        <v>0</v>
      </c>
      <c r="BJ107" s="363">
        <v>0</v>
      </c>
      <c r="BK107" s="363">
        <v>0</v>
      </c>
      <c r="BL107" s="363">
        <v>0</v>
      </c>
      <c r="BM107" s="363">
        <v>0</v>
      </c>
      <c r="BN107" s="363">
        <v>0</v>
      </c>
      <c r="BO107" s="363">
        <v>0</v>
      </c>
      <c r="BP107" s="363">
        <v>0</v>
      </c>
      <c r="BQ107" s="363">
        <v>0</v>
      </c>
      <c r="BR107" s="363">
        <v>0</v>
      </c>
      <c r="BS107" s="363">
        <v>0</v>
      </c>
      <c r="BT107" s="363">
        <v>0</v>
      </c>
      <c r="BU107" s="363">
        <v>0</v>
      </c>
      <c r="BV107" s="363">
        <v>0</v>
      </c>
      <c r="BW107" s="363">
        <v>0</v>
      </c>
      <c r="BX107" s="363">
        <v>0</v>
      </c>
      <c r="BY107" s="363">
        <v>0</v>
      </c>
      <c r="BZ107" s="363">
        <v>0</v>
      </c>
      <c r="CA107" s="363">
        <v>0</v>
      </c>
      <c r="CB107" s="363">
        <v>0</v>
      </c>
      <c r="CC107" s="363">
        <v>0</v>
      </c>
      <c r="CD107" s="363">
        <v>0</v>
      </c>
      <c r="CE107" s="363">
        <v>0</v>
      </c>
      <c r="CF107" s="363">
        <v>0</v>
      </c>
      <c r="CG107" s="363">
        <v>0</v>
      </c>
      <c r="CH107" s="363">
        <v>0</v>
      </c>
      <c r="CI107" s="363">
        <v>0</v>
      </c>
      <c r="CJ107" s="363">
        <v>0</v>
      </c>
      <c r="CK107" s="363">
        <v>0</v>
      </c>
      <c r="CL107" s="363">
        <v>0</v>
      </c>
      <c r="CM107" s="363">
        <v>0</v>
      </c>
      <c r="CN107" s="363">
        <v>0</v>
      </c>
      <c r="CO107" s="363">
        <v>0</v>
      </c>
      <c r="CP107" s="363">
        <v>0</v>
      </c>
      <c r="CQ107" s="363">
        <v>0</v>
      </c>
      <c r="CR107" s="363">
        <v>0</v>
      </c>
      <c r="CS107" s="363">
        <v>0</v>
      </c>
      <c r="CT107" s="363">
        <v>0</v>
      </c>
      <c r="CU107" s="363">
        <v>0</v>
      </c>
      <c r="CV107" s="363">
        <v>0</v>
      </c>
      <c r="CW107" s="363">
        <v>0</v>
      </c>
      <c r="CX107" s="363">
        <v>0</v>
      </c>
      <c r="CY107" s="363">
        <v>0</v>
      </c>
      <c r="CZ107" s="363">
        <v>0</v>
      </c>
      <c r="DA107" s="363">
        <v>0</v>
      </c>
      <c r="DB107" s="363">
        <v>0</v>
      </c>
      <c r="DC107" s="363">
        <v>0</v>
      </c>
      <c r="DD107" s="363">
        <v>0</v>
      </c>
      <c r="DE107" s="363">
        <v>0</v>
      </c>
      <c r="DF107" s="363">
        <v>0</v>
      </c>
      <c r="DG107" s="363">
        <v>0</v>
      </c>
      <c r="DH107" s="363">
        <v>0</v>
      </c>
      <c r="DI107" s="363">
        <v>0</v>
      </c>
      <c r="DJ107" s="363">
        <v>0</v>
      </c>
      <c r="DK107" s="363"/>
      <c r="DL107" s="363"/>
      <c r="DM107" s="363"/>
      <c r="DN107" s="363"/>
      <c r="DO107" s="363"/>
      <c r="DP107" s="363"/>
      <c r="DQ107" s="363"/>
      <c r="DR107" s="363"/>
      <c r="DS107" s="363"/>
      <c r="DT107" s="363"/>
      <c r="DU107" s="363"/>
      <c r="DV107" s="363"/>
      <c r="DW107" s="544">
        <f t="shared" si="17"/>
        <v>0</v>
      </c>
      <c r="DX107" s="858"/>
      <c r="DY107" s="705"/>
      <c r="DZ107" s="871"/>
      <c r="EA107" s="873"/>
      <c r="EB107" s="859"/>
      <c r="EC107" s="859"/>
      <c r="ED107" s="859"/>
      <c r="EE107" s="859"/>
      <c r="EF107" s="861"/>
      <c r="EG107" s="1106"/>
      <c r="EI107" s="858"/>
      <c r="EJ107" s="877"/>
      <c r="ER107" s="497"/>
    </row>
    <row r="108" spans="1:150" s="278" customFormat="1" ht="37.5" customHeight="1" outlineLevel="2" thickBot="1" x14ac:dyDescent="0.25">
      <c r="A108" s="894"/>
      <c r="B108" s="887"/>
      <c r="C108" s="904"/>
      <c r="D108" s="865"/>
      <c r="E108" s="868"/>
      <c r="F108" s="315" t="s">
        <v>211</v>
      </c>
      <c r="G108" s="364">
        <v>0</v>
      </c>
      <c r="H108" s="364">
        <v>0</v>
      </c>
      <c r="I108" s="364">
        <v>0</v>
      </c>
      <c r="J108" s="364">
        <v>0</v>
      </c>
      <c r="K108" s="364">
        <v>0</v>
      </c>
      <c r="L108" s="364">
        <v>0</v>
      </c>
      <c r="M108" s="364">
        <v>0</v>
      </c>
      <c r="N108" s="364">
        <v>0</v>
      </c>
      <c r="O108" s="364">
        <v>0</v>
      </c>
      <c r="P108" s="364">
        <v>0</v>
      </c>
      <c r="Q108" s="364">
        <v>0</v>
      </c>
      <c r="R108" s="364">
        <v>0</v>
      </c>
      <c r="S108" s="364">
        <v>0</v>
      </c>
      <c r="T108" s="364">
        <v>0</v>
      </c>
      <c r="U108" s="364">
        <v>0</v>
      </c>
      <c r="V108" s="364">
        <v>0</v>
      </c>
      <c r="W108" s="364">
        <v>0</v>
      </c>
      <c r="X108" s="364">
        <v>0</v>
      </c>
      <c r="Y108" s="364">
        <v>0</v>
      </c>
      <c r="Z108" s="364">
        <v>0</v>
      </c>
      <c r="AA108" s="364">
        <v>0</v>
      </c>
      <c r="AB108" s="364">
        <v>0</v>
      </c>
      <c r="AC108" s="364">
        <v>0</v>
      </c>
      <c r="AD108" s="364">
        <v>0</v>
      </c>
      <c r="AE108" s="364">
        <v>0</v>
      </c>
      <c r="AF108" s="364">
        <v>0</v>
      </c>
      <c r="AG108" s="364">
        <v>0</v>
      </c>
      <c r="AH108" s="364">
        <v>0</v>
      </c>
      <c r="AI108" s="364">
        <v>0</v>
      </c>
      <c r="AJ108" s="364">
        <v>0</v>
      </c>
      <c r="AK108" s="364">
        <v>0</v>
      </c>
      <c r="AL108" s="364">
        <v>0</v>
      </c>
      <c r="AM108" s="364">
        <v>0</v>
      </c>
      <c r="AN108" s="364">
        <v>0</v>
      </c>
      <c r="AO108" s="364">
        <v>0</v>
      </c>
      <c r="AP108" s="364">
        <v>0</v>
      </c>
      <c r="AQ108" s="364">
        <v>0</v>
      </c>
      <c r="AR108" s="364">
        <v>0</v>
      </c>
      <c r="AS108" s="364">
        <v>0</v>
      </c>
      <c r="AT108" s="364">
        <v>0</v>
      </c>
      <c r="AU108" s="364">
        <v>0</v>
      </c>
      <c r="AV108" s="364">
        <v>0</v>
      </c>
      <c r="AW108" s="364">
        <v>0</v>
      </c>
      <c r="AX108" s="364">
        <v>0</v>
      </c>
      <c r="AY108" s="364">
        <v>0</v>
      </c>
      <c r="AZ108" s="364">
        <v>0</v>
      </c>
      <c r="BA108" s="364">
        <v>0</v>
      </c>
      <c r="BB108" s="364">
        <v>0</v>
      </c>
      <c r="BC108" s="364">
        <v>0</v>
      </c>
      <c r="BD108" s="364">
        <v>0</v>
      </c>
      <c r="BE108" s="364">
        <v>0</v>
      </c>
      <c r="BF108" s="364">
        <v>0</v>
      </c>
      <c r="BG108" s="364">
        <v>0</v>
      </c>
      <c r="BH108" s="364">
        <v>0</v>
      </c>
      <c r="BI108" s="364">
        <v>0</v>
      </c>
      <c r="BJ108" s="364">
        <v>0</v>
      </c>
      <c r="BK108" s="364">
        <v>0</v>
      </c>
      <c r="BL108" s="364">
        <v>0</v>
      </c>
      <c r="BM108" s="364">
        <v>0</v>
      </c>
      <c r="BN108" s="364">
        <v>0</v>
      </c>
      <c r="BO108" s="364">
        <v>0</v>
      </c>
      <c r="BP108" s="364">
        <v>0</v>
      </c>
      <c r="BQ108" s="364">
        <v>0</v>
      </c>
      <c r="BR108" s="364">
        <v>0</v>
      </c>
      <c r="BS108" s="364">
        <v>0</v>
      </c>
      <c r="BT108" s="364">
        <v>0</v>
      </c>
      <c r="BU108" s="364">
        <v>0</v>
      </c>
      <c r="BV108" s="364">
        <v>0</v>
      </c>
      <c r="BW108" s="364">
        <v>0</v>
      </c>
      <c r="BX108" s="563"/>
      <c r="BY108" s="364">
        <v>0</v>
      </c>
      <c r="BZ108" s="563">
        <v>0</v>
      </c>
      <c r="CA108" s="364">
        <v>96.198993999999999</v>
      </c>
      <c r="CB108" s="568">
        <v>0</v>
      </c>
      <c r="CC108" s="364">
        <v>0</v>
      </c>
      <c r="CD108" s="364">
        <v>96.198993999999999</v>
      </c>
      <c r="CE108" s="364">
        <v>0</v>
      </c>
      <c r="CF108" s="364">
        <v>0</v>
      </c>
      <c r="CG108" s="364">
        <v>0</v>
      </c>
      <c r="CH108" s="364">
        <v>0</v>
      </c>
      <c r="CI108" s="364">
        <v>0</v>
      </c>
      <c r="CJ108" s="364">
        <v>263.28174200000001</v>
      </c>
      <c r="CK108" s="364">
        <v>0</v>
      </c>
      <c r="CL108" s="364">
        <v>0</v>
      </c>
      <c r="CM108" s="364">
        <v>0</v>
      </c>
      <c r="CN108" s="364">
        <v>0</v>
      </c>
      <c r="CO108" s="364">
        <v>131.52873199999999</v>
      </c>
      <c r="CP108" s="364">
        <v>0</v>
      </c>
      <c r="CQ108" s="364">
        <v>0</v>
      </c>
      <c r="CR108" s="364">
        <v>0</v>
      </c>
      <c r="CS108" s="364">
        <v>0</v>
      </c>
      <c r="CT108" s="364">
        <v>0</v>
      </c>
      <c r="CU108" s="364">
        <v>0</v>
      </c>
      <c r="CV108" s="364">
        <v>0</v>
      </c>
      <c r="CW108" s="364">
        <v>0</v>
      </c>
      <c r="CX108" s="364">
        <v>0</v>
      </c>
      <c r="CY108" s="364">
        <v>0</v>
      </c>
      <c r="CZ108" s="364">
        <v>0</v>
      </c>
      <c r="DA108" s="364">
        <v>0</v>
      </c>
      <c r="DB108" s="364">
        <v>0</v>
      </c>
      <c r="DC108" s="364">
        <v>0</v>
      </c>
      <c r="DD108" s="364">
        <v>0</v>
      </c>
      <c r="DE108" s="364">
        <v>0</v>
      </c>
      <c r="DF108" s="364">
        <v>0</v>
      </c>
      <c r="DG108" s="364">
        <v>0</v>
      </c>
      <c r="DH108" s="364">
        <v>0</v>
      </c>
      <c r="DI108" s="364">
        <v>0</v>
      </c>
      <c r="DJ108" s="364">
        <v>0</v>
      </c>
      <c r="DK108" s="364"/>
      <c r="DL108" s="364"/>
      <c r="DM108" s="364"/>
      <c r="DN108" s="364"/>
      <c r="DO108" s="364"/>
      <c r="DP108" s="364"/>
      <c r="DQ108" s="364"/>
      <c r="DR108" s="364"/>
      <c r="DS108" s="364"/>
      <c r="DT108" s="364"/>
      <c r="DU108" s="364"/>
      <c r="DV108" s="364"/>
      <c r="DW108" s="649">
        <f t="shared" si="17"/>
        <v>587.20846200000005</v>
      </c>
      <c r="DX108" s="858"/>
      <c r="DY108" s="706"/>
      <c r="DZ108" s="872"/>
      <c r="EA108" s="873"/>
      <c r="EB108" s="859"/>
      <c r="EC108" s="859"/>
      <c r="ED108" s="859"/>
      <c r="EE108" s="859"/>
      <c r="EF108" s="861"/>
      <c r="EG108" s="1107"/>
      <c r="EI108" s="858"/>
      <c r="EJ108" s="877"/>
      <c r="ER108" s="497"/>
    </row>
    <row r="109" spans="1:150" s="278" customFormat="1" ht="24" outlineLevel="2" x14ac:dyDescent="0.2">
      <c r="A109" s="892" t="s">
        <v>393</v>
      </c>
      <c r="B109" s="897" t="s">
        <v>503</v>
      </c>
      <c r="C109" s="902">
        <v>6</v>
      </c>
      <c r="D109" s="863">
        <f>+IFERROR(VLOOKUP(B109,'Detalle Plan de Adquisiciones'!$G$53:$L$153,6,FALSE),0)</f>
        <v>1100000000</v>
      </c>
      <c r="E109" s="866" t="str">
        <f>+'Detalle Plan de Adquisiciones'!F112</f>
        <v>REALIZAR LA ESTRUCTURACIÓN OPERACIONAL TECNOLOGICA, FINANCIERA Y JURÍDICA DEL SISTEMA ESTRATEGICO DE PASAJEROS DE TRANSPORTE PUBLICO "SETP" DE MONTERÍA.</v>
      </c>
      <c r="F109" s="312" t="s">
        <v>410</v>
      </c>
      <c r="G109" s="354">
        <v>0</v>
      </c>
      <c r="H109" s="354">
        <v>0</v>
      </c>
      <c r="I109" s="354">
        <v>0</v>
      </c>
      <c r="J109" s="354">
        <v>0</v>
      </c>
      <c r="K109" s="354">
        <v>0</v>
      </c>
      <c r="L109" s="354">
        <v>0</v>
      </c>
      <c r="M109" s="354">
        <v>0</v>
      </c>
      <c r="N109" s="354">
        <v>0</v>
      </c>
      <c r="O109" s="354">
        <v>0</v>
      </c>
      <c r="P109" s="354">
        <v>0</v>
      </c>
      <c r="Q109" s="354">
        <v>0</v>
      </c>
      <c r="R109" s="354">
        <v>0</v>
      </c>
      <c r="S109" s="354">
        <v>0</v>
      </c>
      <c r="T109" s="354">
        <v>0</v>
      </c>
      <c r="U109" s="354">
        <v>0</v>
      </c>
      <c r="V109" s="354">
        <v>0</v>
      </c>
      <c r="W109" s="354">
        <v>0</v>
      </c>
      <c r="X109" s="354">
        <v>0</v>
      </c>
      <c r="Y109" s="354">
        <v>0</v>
      </c>
      <c r="Z109" s="354">
        <v>0</v>
      </c>
      <c r="AA109" s="354">
        <v>0</v>
      </c>
      <c r="AB109" s="354">
        <v>0</v>
      </c>
      <c r="AC109" s="354">
        <v>0</v>
      </c>
      <c r="AD109" s="354">
        <v>0</v>
      </c>
      <c r="AE109" s="354">
        <v>0</v>
      </c>
      <c r="AF109" s="354">
        <v>0</v>
      </c>
      <c r="AG109" s="354">
        <v>0</v>
      </c>
      <c r="AH109" s="354">
        <v>0</v>
      </c>
      <c r="AI109" s="354">
        <v>0</v>
      </c>
      <c r="AJ109" s="354">
        <v>0</v>
      </c>
      <c r="AK109" s="354">
        <v>0</v>
      </c>
      <c r="AL109" s="354">
        <v>0</v>
      </c>
      <c r="AM109" s="354">
        <v>0</v>
      </c>
      <c r="AN109" s="354">
        <v>0</v>
      </c>
      <c r="AO109" s="354">
        <v>0</v>
      </c>
      <c r="AP109" s="354">
        <v>0</v>
      </c>
      <c r="AQ109" s="354">
        <v>0</v>
      </c>
      <c r="AR109" s="354">
        <v>0</v>
      </c>
      <c r="AS109" s="354">
        <v>0</v>
      </c>
      <c r="AT109" s="354">
        <v>0</v>
      </c>
      <c r="AU109" s="354">
        <v>0</v>
      </c>
      <c r="AV109" s="354">
        <v>0</v>
      </c>
      <c r="AW109" s="354">
        <v>0</v>
      </c>
      <c r="AX109" s="354">
        <v>0</v>
      </c>
      <c r="AY109" s="354">
        <v>0</v>
      </c>
      <c r="AZ109" s="354">
        <v>0</v>
      </c>
      <c r="BA109" s="354">
        <v>0</v>
      </c>
      <c r="BB109" s="354">
        <v>0</v>
      </c>
      <c r="BC109" s="354">
        <v>0</v>
      </c>
      <c r="BD109" s="354">
        <v>0</v>
      </c>
      <c r="BE109" s="354">
        <v>0</v>
      </c>
      <c r="BF109" s="354">
        <v>0</v>
      </c>
      <c r="BG109" s="354">
        <v>0</v>
      </c>
      <c r="BH109" s="354">
        <v>0</v>
      </c>
      <c r="BI109" s="354">
        <v>0</v>
      </c>
      <c r="BJ109" s="354">
        <v>0</v>
      </c>
      <c r="BK109" s="354">
        <v>0</v>
      </c>
      <c r="BL109" s="354">
        <v>0</v>
      </c>
      <c r="BM109" s="354">
        <v>0</v>
      </c>
      <c r="BN109" s="354">
        <v>0</v>
      </c>
      <c r="BO109" s="354">
        <v>0</v>
      </c>
      <c r="BP109" s="354">
        <v>0</v>
      </c>
      <c r="BQ109" s="354">
        <v>0</v>
      </c>
      <c r="BR109" s="354">
        <v>0</v>
      </c>
      <c r="BS109" s="354">
        <v>0</v>
      </c>
      <c r="BT109" s="354">
        <v>0</v>
      </c>
      <c r="BU109" s="354">
        <v>275</v>
      </c>
      <c r="BV109" s="354">
        <v>0</v>
      </c>
      <c r="BW109" s="557">
        <v>0</v>
      </c>
      <c r="BX109" s="560">
        <v>0</v>
      </c>
      <c r="BY109" s="560">
        <v>0</v>
      </c>
      <c r="BZ109" s="354">
        <v>275</v>
      </c>
      <c r="CA109" s="354">
        <v>0</v>
      </c>
      <c r="CB109" s="354">
        <v>0</v>
      </c>
      <c r="CC109" s="354">
        <v>0</v>
      </c>
      <c r="CD109" s="354">
        <v>0</v>
      </c>
      <c r="CE109" s="354">
        <v>0</v>
      </c>
      <c r="CF109" s="354">
        <v>0</v>
      </c>
      <c r="CG109" s="354">
        <v>0</v>
      </c>
      <c r="CH109" s="354">
        <v>0</v>
      </c>
      <c r="CI109" s="354">
        <v>0</v>
      </c>
      <c r="CJ109" s="354">
        <v>0</v>
      </c>
      <c r="CK109" s="354">
        <v>0</v>
      </c>
      <c r="CL109" s="354">
        <v>550</v>
      </c>
      <c r="CM109" s="354">
        <v>0</v>
      </c>
      <c r="CN109" s="354">
        <v>0</v>
      </c>
      <c r="CO109" s="354">
        <v>0</v>
      </c>
      <c r="CP109" s="354">
        <v>0</v>
      </c>
      <c r="CQ109" s="354">
        <v>0</v>
      </c>
      <c r="CR109" s="354">
        <v>0</v>
      </c>
      <c r="CS109" s="354">
        <v>0</v>
      </c>
      <c r="CT109" s="354">
        <v>0</v>
      </c>
      <c r="CU109" s="354">
        <v>0</v>
      </c>
      <c r="CV109" s="354">
        <v>0</v>
      </c>
      <c r="CW109" s="354">
        <v>0</v>
      </c>
      <c r="CX109" s="354">
        <v>0</v>
      </c>
      <c r="CY109" s="354"/>
      <c r="CZ109" s="354"/>
      <c r="DA109" s="354"/>
      <c r="DB109" s="354"/>
      <c r="DC109" s="354"/>
      <c r="DD109" s="354"/>
      <c r="DE109" s="354"/>
      <c r="DF109" s="354"/>
      <c r="DG109" s="354"/>
      <c r="DH109" s="354"/>
      <c r="DI109" s="354"/>
      <c r="DJ109" s="354"/>
      <c r="DK109" s="354"/>
      <c r="DL109" s="354"/>
      <c r="DM109" s="354"/>
      <c r="DN109" s="354"/>
      <c r="DO109" s="354"/>
      <c r="DP109" s="354"/>
      <c r="DQ109" s="354"/>
      <c r="DR109" s="354"/>
      <c r="DS109" s="354"/>
      <c r="DT109" s="354"/>
      <c r="DU109" s="354"/>
      <c r="DV109" s="354"/>
      <c r="DW109" s="543">
        <f>SUM(G109:DV109)</f>
        <v>1100</v>
      </c>
      <c r="DX109" s="858">
        <f>DW109+DW110+DW111</f>
        <v>1100</v>
      </c>
      <c r="DY109" s="704">
        <f>+DX109*1000000</f>
        <v>1100000000</v>
      </c>
      <c r="DZ109" s="870">
        <f>+DY109-D109</f>
        <v>0</v>
      </c>
      <c r="EA109" s="873">
        <f>VLOOKUP(POA!$B109,INTERPLAN,28,0)</f>
        <v>41983</v>
      </c>
      <c r="EB109" s="859">
        <f>+EDATE(EA109,C109)</f>
        <v>42165</v>
      </c>
      <c r="EC109" s="859">
        <f>EB109+30</f>
        <v>42195</v>
      </c>
      <c r="ED109" s="859" t="str">
        <f>CONCATENATE(MONTH(EA109),"-",YEAR(EA109))</f>
        <v>12-2014</v>
      </c>
      <c r="EE109" s="859" t="str">
        <f>CONCATENATE(MONTH(EB109),"-",YEAR(EB109))</f>
        <v>6-2015</v>
      </c>
      <c r="EF109" s="861" t="str">
        <f>CONCATENATE(MONTH(EC109),"-",YEAR(EC109))</f>
        <v>7-2015</v>
      </c>
      <c r="EG109" s="1105">
        <f>+YEAR(EA109)</f>
        <v>2014</v>
      </c>
      <c r="EH109" s="393">
        <f>+DY109</f>
        <v>1100000000</v>
      </c>
      <c r="EI109" s="858">
        <f>+DW109+DW110+DW111</f>
        <v>1100</v>
      </c>
      <c r="EJ109" s="877">
        <f>+D109/1000000-EI109</f>
        <v>0</v>
      </c>
      <c r="ER109" s="497"/>
    </row>
    <row r="110" spans="1:150" s="278" customFormat="1" outlineLevel="2" x14ac:dyDescent="0.2">
      <c r="A110" s="893"/>
      <c r="B110" s="886"/>
      <c r="C110" s="903"/>
      <c r="D110" s="864"/>
      <c r="E110" s="867"/>
      <c r="F110" s="311" t="s">
        <v>210</v>
      </c>
      <c r="G110" s="363">
        <v>0</v>
      </c>
      <c r="H110" s="363">
        <v>0</v>
      </c>
      <c r="I110" s="363">
        <v>0</v>
      </c>
      <c r="J110" s="363">
        <v>0</v>
      </c>
      <c r="K110" s="363">
        <v>0</v>
      </c>
      <c r="L110" s="363">
        <v>0</v>
      </c>
      <c r="M110" s="363">
        <v>0</v>
      </c>
      <c r="N110" s="363">
        <v>0</v>
      </c>
      <c r="O110" s="363">
        <v>0</v>
      </c>
      <c r="P110" s="363">
        <v>0</v>
      </c>
      <c r="Q110" s="363">
        <v>0</v>
      </c>
      <c r="R110" s="363">
        <v>0</v>
      </c>
      <c r="S110" s="363">
        <v>0</v>
      </c>
      <c r="T110" s="363">
        <v>0</v>
      </c>
      <c r="U110" s="363">
        <v>0</v>
      </c>
      <c r="V110" s="363">
        <v>0</v>
      </c>
      <c r="W110" s="363">
        <v>0</v>
      </c>
      <c r="X110" s="363">
        <v>0</v>
      </c>
      <c r="Y110" s="363">
        <v>0</v>
      </c>
      <c r="Z110" s="363">
        <v>0</v>
      </c>
      <c r="AA110" s="363">
        <v>0</v>
      </c>
      <c r="AB110" s="363">
        <v>0</v>
      </c>
      <c r="AC110" s="363">
        <v>0</v>
      </c>
      <c r="AD110" s="363">
        <v>0</v>
      </c>
      <c r="AE110" s="363">
        <v>0</v>
      </c>
      <c r="AF110" s="363">
        <v>0</v>
      </c>
      <c r="AG110" s="363">
        <v>0</v>
      </c>
      <c r="AH110" s="363">
        <v>0</v>
      </c>
      <c r="AI110" s="363">
        <v>0</v>
      </c>
      <c r="AJ110" s="363">
        <v>0</v>
      </c>
      <c r="AK110" s="363">
        <v>0</v>
      </c>
      <c r="AL110" s="363">
        <v>0</v>
      </c>
      <c r="AM110" s="363">
        <v>0</v>
      </c>
      <c r="AN110" s="363">
        <v>0</v>
      </c>
      <c r="AO110" s="363">
        <v>0</v>
      </c>
      <c r="AP110" s="363">
        <v>0</v>
      </c>
      <c r="AQ110" s="363">
        <v>0</v>
      </c>
      <c r="AR110" s="363">
        <v>0</v>
      </c>
      <c r="AS110" s="363">
        <v>0</v>
      </c>
      <c r="AT110" s="363">
        <v>0</v>
      </c>
      <c r="AU110" s="363">
        <v>0</v>
      </c>
      <c r="AV110" s="363">
        <v>0</v>
      </c>
      <c r="AW110" s="363">
        <v>0</v>
      </c>
      <c r="AX110" s="363">
        <v>0</v>
      </c>
      <c r="AY110" s="363">
        <v>0</v>
      </c>
      <c r="AZ110" s="363">
        <v>0</v>
      </c>
      <c r="BA110" s="363">
        <v>0</v>
      </c>
      <c r="BB110" s="363">
        <v>0</v>
      </c>
      <c r="BC110" s="363">
        <v>0</v>
      </c>
      <c r="BD110" s="363">
        <v>0</v>
      </c>
      <c r="BE110" s="363">
        <v>0</v>
      </c>
      <c r="BF110" s="363">
        <v>0</v>
      </c>
      <c r="BG110" s="363">
        <v>0</v>
      </c>
      <c r="BH110" s="363">
        <v>0</v>
      </c>
      <c r="BI110" s="363">
        <v>0</v>
      </c>
      <c r="BJ110" s="363">
        <v>0</v>
      </c>
      <c r="BK110" s="363">
        <v>0</v>
      </c>
      <c r="BL110" s="363">
        <v>0</v>
      </c>
      <c r="BM110" s="363">
        <v>0</v>
      </c>
      <c r="BN110" s="363">
        <v>0</v>
      </c>
      <c r="BO110" s="363">
        <v>0</v>
      </c>
      <c r="BP110" s="363">
        <v>0</v>
      </c>
      <c r="BQ110" s="363">
        <v>0</v>
      </c>
      <c r="BR110" s="363">
        <v>0</v>
      </c>
      <c r="BS110" s="363">
        <v>0</v>
      </c>
      <c r="BT110" s="363">
        <v>0</v>
      </c>
      <c r="BU110" s="363">
        <v>0</v>
      </c>
      <c r="BV110" s="363">
        <v>0</v>
      </c>
      <c r="BW110" s="363">
        <v>0</v>
      </c>
      <c r="BX110" s="363">
        <v>0</v>
      </c>
      <c r="BY110" s="363">
        <v>0</v>
      </c>
      <c r="BZ110" s="363">
        <v>0</v>
      </c>
      <c r="CA110" s="363">
        <v>0</v>
      </c>
      <c r="CB110" s="363">
        <v>0</v>
      </c>
      <c r="CC110" s="363">
        <v>0</v>
      </c>
      <c r="CD110" s="363">
        <v>0</v>
      </c>
      <c r="CE110" s="363">
        <v>0</v>
      </c>
      <c r="CF110" s="363">
        <v>0</v>
      </c>
      <c r="CG110" s="363">
        <v>0</v>
      </c>
      <c r="CH110" s="363">
        <v>0</v>
      </c>
      <c r="CI110" s="363">
        <v>0</v>
      </c>
      <c r="CJ110" s="363">
        <v>0</v>
      </c>
      <c r="CK110" s="363">
        <v>0</v>
      </c>
      <c r="CL110" s="363"/>
      <c r="CM110" s="363">
        <v>0</v>
      </c>
      <c r="CN110" s="363">
        <v>0</v>
      </c>
      <c r="CO110" s="363">
        <v>0</v>
      </c>
      <c r="CP110" s="363">
        <v>0</v>
      </c>
      <c r="CQ110" s="363">
        <v>0</v>
      </c>
      <c r="CR110" s="363">
        <v>0</v>
      </c>
      <c r="CS110" s="363">
        <v>0</v>
      </c>
      <c r="CT110" s="363">
        <v>0</v>
      </c>
      <c r="CU110" s="363">
        <v>0</v>
      </c>
      <c r="CV110" s="363">
        <v>0</v>
      </c>
      <c r="CW110" s="363">
        <v>0</v>
      </c>
      <c r="CX110" s="363">
        <v>0</v>
      </c>
      <c r="CY110" s="363"/>
      <c r="CZ110" s="363"/>
      <c r="DA110" s="363"/>
      <c r="DB110" s="363"/>
      <c r="DC110" s="363"/>
      <c r="DD110" s="363"/>
      <c r="DE110" s="363"/>
      <c r="DF110" s="363"/>
      <c r="DG110" s="363"/>
      <c r="DH110" s="363"/>
      <c r="DI110" s="363"/>
      <c r="DJ110" s="363"/>
      <c r="DK110" s="363"/>
      <c r="DL110" s="363"/>
      <c r="DM110" s="363"/>
      <c r="DN110" s="363"/>
      <c r="DO110" s="363"/>
      <c r="DP110" s="363"/>
      <c r="DQ110" s="363"/>
      <c r="DR110" s="363"/>
      <c r="DS110" s="363"/>
      <c r="DT110" s="363"/>
      <c r="DU110" s="363"/>
      <c r="DV110" s="363"/>
      <c r="DW110" s="544">
        <f>SUM(G110:DV110)</f>
        <v>0</v>
      </c>
      <c r="DX110" s="858"/>
      <c r="DY110" s="705"/>
      <c r="DZ110" s="871"/>
      <c r="EA110" s="873"/>
      <c r="EB110" s="859"/>
      <c r="EC110" s="859"/>
      <c r="ED110" s="859"/>
      <c r="EE110" s="859"/>
      <c r="EF110" s="861"/>
      <c r="EG110" s="1106"/>
      <c r="EI110" s="858"/>
      <c r="EJ110" s="877"/>
      <c r="ER110" s="497"/>
    </row>
    <row r="111" spans="1:150" s="278" customFormat="1" ht="30" customHeight="1" outlineLevel="2" thickBot="1" x14ac:dyDescent="0.25">
      <c r="A111" s="894"/>
      <c r="B111" s="887"/>
      <c r="C111" s="904"/>
      <c r="D111" s="865"/>
      <c r="E111" s="868"/>
      <c r="F111" s="315" t="s">
        <v>211</v>
      </c>
      <c r="G111" s="364">
        <v>0</v>
      </c>
      <c r="H111" s="364">
        <v>0</v>
      </c>
      <c r="I111" s="364">
        <v>0</v>
      </c>
      <c r="J111" s="364">
        <v>0</v>
      </c>
      <c r="K111" s="364">
        <v>0</v>
      </c>
      <c r="L111" s="364">
        <v>0</v>
      </c>
      <c r="M111" s="364">
        <v>0</v>
      </c>
      <c r="N111" s="364">
        <v>0</v>
      </c>
      <c r="O111" s="364">
        <v>0</v>
      </c>
      <c r="P111" s="364">
        <v>0</v>
      </c>
      <c r="Q111" s="364">
        <v>0</v>
      </c>
      <c r="R111" s="364">
        <v>0</v>
      </c>
      <c r="S111" s="364">
        <v>0</v>
      </c>
      <c r="T111" s="364">
        <v>0</v>
      </c>
      <c r="U111" s="364">
        <v>0</v>
      </c>
      <c r="V111" s="364">
        <v>0</v>
      </c>
      <c r="W111" s="364">
        <v>0</v>
      </c>
      <c r="X111" s="364">
        <v>0</v>
      </c>
      <c r="Y111" s="364">
        <v>0</v>
      </c>
      <c r="Z111" s="364">
        <v>0</v>
      </c>
      <c r="AA111" s="364">
        <v>0</v>
      </c>
      <c r="AB111" s="364">
        <v>0</v>
      </c>
      <c r="AC111" s="364">
        <v>0</v>
      </c>
      <c r="AD111" s="364">
        <v>0</v>
      </c>
      <c r="AE111" s="364">
        <v>0</v>
      </c>
      <c r="AF111" s="364">
        <v>0</v>
      </c>
      <c r="AG111" s="364">
        <v>0</v>
      </c>
      <c r="AH111" s="364">
        <v>0</v>
      </c>
      <c r="AI111" s="364">
        <v>0</v>
      </c>
      <c r="AJ111" s="364">
        <v>0</v>
      </c>
      <c r="AK111" s="364">
        <v>0</v>
      </c>
      <c r="AL111" s="364">
        <v>0</v>
      </c>
      <c r="AM111" s="364">
        <v>0</v>
      </c>
      <c r="AN111" s="364">
        <v>0</v>
      </c>
      <c r="AO111" s="364">
        <v>0</v>
      </c>
      <c r="AP111" s="364">
        <v>0</v>
      </c>
      <c r="AQ111" s="364">
        <v>0</v>
      </c>
      <c r="AR111" s="364">
        <v>0</v>
      </c>
      <c r="AS111" s="364">
        <v>0</v>
      </c>
      <c r="AT111" s="364">
        <v>0</v>
      </c>
      <c r="AU111" s="364">
        <v>0</v>
      </c>
      <c r="AV111" s="364">
        <v>0</v>
      </c>
      <c r="AW111" s="364">
        <v>0</v>
      </c>
      <c r="AX111" s="364">
        <v>0</v>
      </c>
      <c r="AY111" s="364">
        <v>0</v>
      </c>
      <c r="AZ111" s="364">
        <v>0</v>
      </c>
      <c r="BA111" s="364">
        <v>0</v>
      </c>
      <c r="BB111" s="364">
        <v>0</v>
      </c>
      <c r="BC111" s="364">
        <v>0</v>
      </c>
      <c r="BD111" s="364">
        <v>0</v>
      </c>
      <c r="BE111" s="364">
        <v>0</v>
      </c>
      <c r="BF111" s="364">
        <v>0</v>
      </c>
      <c r="BG111" s="364">
        <v>0</v>
      </c>
      <c r="BH111" s="364">
        <v>0</v>
      </c>
      <c r="BI111" s="364">
        <v>0</v>
      </c>
      <c r="BJ111" s="364">
        <v>0</v>
      </c>
      <c r="BK111" s="364">
        <v>0</v>
      </c>
      <c r="BL111" s="364">
        <v>0</v>
      </c>
      <c r="BM111" s="364">
        <v>0</v>
      </c>
      <c r="BN111" s="364">
        <v>0</v>
      </c>
      <c r="BO111" s="364">
        <v>0</v>
      </c>
      <c r="BP111" s="364">
        <v>0</v>
      </c>
      <c r="BQ111" s="364">
        <v>0</v>
      </c>
      <c r="BR111" s="364">
        <v>0</v>
      </c>
      <c r="BS111" s="364">
        <v>0</v>
      </c>
      <c r="BT111" s="364">
        <v>0</v>
      </c>
      <c r="BU111" s="364">
        <v>0</v>
      </c>
      <c r="BV111" s="364">
        <v>0</v>
      </c>
      <c r="BW111" s="364">
        <v>0</v>
      </c>
      <c r="BX111" s="364">
        <v>0</v>
      </c>
      <c r="BY111" s="364">
        <v>0</v>
      </c>
      <c r="BZ111" s="364">
        <v>0</v>
      </c>
      <c r="CA111" s="364">
        <v>0</v>
      </c>
      <c r="CB111" s="364">
        <v>0</v>
      </c>
      <c r="CC111" s="364">
        <v>0</v>
      </c>
      <c r="CD111" s="364">
        <v>0</v>
      </c>
      <c r="CE111" s="364">
        <v>0</v>
      </c>
      <c r="CF111" s="364">
        <v>0</v>
      </c>
      <c r="CG111" s="364">
        <v>0</v>
      </c>
      <c r="CH111" s="364">
        <v>0</v>
      </c>
      <c r="CI111" s="364">
        <v>0</v>
      </c>
      <c r="CJ111" s="364">
        <v>0</v>
      </c>
      <c r="CK111" s="364">
        <v>0</v>
      </c>
      <c r="CL111" s="364"/>
      <c r="CM111" s="364">
        <v>0</v>
      </c>
      <c r="CN111" s="364">
        <v>0</v>
      </c>
      <c r="CO111" s="364">
        <v>0</v>
      </c>
      <c r="CP111" s="364">
        <v>0</v>
      </c>
      <c r="CQ111" s="364">
        <v>0</v>
      </c>
      <c r="CR111" s="364">
        <v>0</v>
      </c>
      <c r="CS111" s="364">
        <v>0</v>
      </c>
      <c r="CT111" s="364">
        <v>0</v>
      </c>
      <c r="CU111" s="364">
        <v>0</v>
      </c>
      <c r="CV111" s="364">
        <v>0</v>
      </c>
      <c r="CW111" s="364">
        <v>0</v>
      </c>
      <c r="CX111" s="364">
        <v>0</v>
      </c>
      <c r="CY111" s="364"/>
      <c r="CZ111" s="364"/>
      <c r="DA111" s="364"/>
      <c r="DB111" s="364"/>
      <c r="DC111" s="364"/>
      <c r="DD111" s="364"/>
      <c r="DE111" s="364"/>
      <c r="DF111" s="364"/>
      <c r="DG111" s="364"/>
      <c r="DH111" s="364"/>
      <c r="DI111" s="364"/>
      <c r="DJ111" s="364"/>
      <c r="DK111" s="364"/>
      <c r="DL111" s="364"/>
      <c r="DM111" s="364"/>
      <c r="DN111" s="364"/>
      <c r="DO111" s="364"/>
      <c r="DP111" s="364"/>
      <c r="DQ111" s="364"/>
      <c r="DR111" s="364"/>
      <c r="DS111" s="364"/>
      <c r="DT111" s="364"/>
      <c r="DU111" s="364"/>
      <c r="DV111" s="364"/>
      <c r="DW111" s="649">
        <f>SUM(G111:DV111)</f>
        <v>0</v>
      </c>
      <c r="DX111" s="858"/>
      <c r="DY111" s="706"/>
      <c r="DZ111" s="872"/>
      <c r="EA111" s="873"/>
      <c r="EB111" s="859"/>
      <c r="EC111" s="859"/>
      <c r="ED111" s="859"/>
      <c r="EE111" s="859"/>
      <c r="EF111" s="861"/>
      <c r="EG111" s="1107"/>
      <c r="EI111" s="858"/>
      <c r="EJ111" s="877"/>
      <c r="ER111" s="497"/>
    </row>
    <row r="112" spans="1:150" s="278" customFormat="1" ht="12" customHeight="1" outlineLevel="2" x14ac:dyDescent="0.2">
      <c r="A112" s="970" t="s">
        <v>388</v>
      </c>
      <c r="B112" s="973" t="s">
        <v>186</v>
      </c>
      <c r="C112" s="979">
        <v>13</v>
      </c>
      <c r="D112" s="1021">
        <f>+IFERROR(VLOOKUP(B112,'Detalle Plan de Adquisiciones'!$G$6:$M$66,7,FALSE),0)</f>
        <v>7940149046</v>
      </c>
      <c r="E112" s="1025" t="str">
        <f>+'Detalle Plan de Adquisiciones'!F27</f>
        <v>CONSTRUCCIÓN DEL CENTRO INTEGRADO DE SERVICIO AL CIUDADANO - CISC, ID (PD4). PERTENECIENTE AL SISTEMA ESTRATÉGICO DE TRANSPORTE PUBLICO "SETP" DE LA CIUDAD DE MONTERÍA</v>
      </c>
      <c r="F112" s="312" t="s">
        <v>410</v>
      </c>
      <c r="G112" s="354">
        <v>0</v>
      </c>
      <c r="H112" s="354">
        <v>0</v>
      </c>
      <c r="I112" s="354">
        <v>0</v>
      </c>
      <c r="J112" s="354">
        <v>0</v>
      </c>
      <c r="K112" s="354">
        <v>0</v>
      </c>
      <c r="L112" s="354">
        <v>0</v>
      </c>
      <c r="M112" s="354">
        <v>0</v>
      </c>
      <c r="N112" s="354">
        <v>0</v>
      </c>
      <c r="O112" s="354">
        <v>0</v>
      </c>
      <c r="P112" s="354">
        <v>0</v>
      </c>
      <c r="Q112" s="354">
        <v>0</v>
      </c>
      <c r="R112" s="354">
        <v>0</v>
      </c>
      <c r="S112" s="354">
        <v>0</v>
      </c>
      <c r="T112" s="354">
        <v>0</v>
      </c>
      <c r="U112" s="354">
        <v>0</v>
      </c>
      <c r="V112" s="354">
        <v>0</v>
      </c>
      <c r="W112" s="354">
        <v>0</v>
      </c>
      <c r="X112" s="354">
        <v>0</v>
      </c>
      <c r="Y112" s="354">
        <v>0</v>
      </c>
      <c r="Z112" s="354">
        <v>0</v>
      </c>
      <c r="AA112" s="354">
        <v>0</v>
      </c>
      <c r="AB112" s="354">
        <v>0</v>
      </c>
      <c r="AC112" s="354">
        <v>0</v>
      </c>
      <c r="AD112" s="354">
        <v>0</v>
      </c>
      <c r="AE112" s="354">
        <v>0</v>
      </c>
      <c r="AF112" s="354">
        <v>0</v>
      </c>
      <c r="AG112" s="354">
        <v>0</v>
      </c>
      <c r="AH112" s="354">
        <v>0</v>
      </c>
      <c r="AI112" s="354">
        <v>0</v>
      </c>
      <c r="AJ112" s="354">
        <v>0</v>
      </c>
      <c r="AK112" s="354">
        <v>0</v>
      </c>
      <c r="AL112" s="354">
        <v>0</v>
      </c>
      <c r="AM112" s="354">
        <v>0</v>
      </c>
      <c r="AN112" s="354">
        <v>0</v>
      </c>
      <c r="AO112" s="354">
        <v>0</v>
      </c>
      <c r="AP112" s="354">
        <v>0</v>
      </c>
      <c r="AQ112" s="354">
        <v>0</v>
      </c>
      <c r="AR112" s="354">
        <v>0</v>
      </c>
      <c r="AS112" s="354">
        <v>0</v>
      </c>
      <c r="AT112" s="354">
        <v>0</v>
      </c>
      <c r="AU112" s="354">
        <v>0</v>
      </c>
      <c r="AV112" s="354">
        <v>0</v>
      </c>
      <c r="AW112" s="354">
        <v>0</v>
      </c>
      <c r="AX112" s="354">
        <v>0</v>
      </c>
      <c r="AY112" s="354">
        <v>0</v>
      </c>
      <c r="AZ112" s="354">
        <v>0</v>
      </c>
      <c r="BA112" s="354">
        <v>0</v>
      </c>
      <c r="BB112" s="354">
        <v>0</v>
      </c>
      <c r="BC112" s="354">
        <v>0</v>
      </c>
      <c r="BD112" s="354">
        <v>0</v>
      </c>
      <c r="BE112" s="354">
        <v>0</v>
      </c>
      <c r="BF112" s="354">
        <v>0</v>
      </c>
      <c r="BG112" s="354">
        <v>0</v>
      </c>
      <c r="BH112" s="354">
        <v>0</v>
      </c>
      <c r="BI112" s="354">
        <v>0</v>
      </c>
      <c r="BJ112" s="354">
        <v>0</v>
      </c>
      <c r="BK112" s="354">
        <v>0</v>
      </c>
      <c r="BL112" s="354">
        <v>0</v>
      </c>
      <c r="BM112" s="354">
        <v>0</v>
      </c>
      <c r="BN112" s="354">
        <v>0</v>
      </c>
      <c r="BO112" s="354">
        <v>0</v>
      </c>
      <c r="BP112" s="354">
        <v>0</v>
      </c>
      <c r="BQ112" s="354">
        <v>0</v>
      </c>
      <c r="BR112" s="354">
        <v>0</v>
      </c>
      <c r="BS112" s="354">
        <v>0</v>
      </c>
      <c r="BT112" s="354">
        <v>0</v>
      </c>
      <c r="BU112" s="354"/>
      <c r="BV112" s="354">
        <v>0</v>
      </c>
      <c r="BW112" s="354">
        <v>0</v>
      </c>
      <c r="BX112" s="354">
        <v>598.08261800000002</v>
      </c>
      <c r="BY112" s="354">
        <v>415.19829099999998</v>
      </c>
      <c r="BZ112" s="354">
        <v>845.37966600000004</v>
      </c>
      <c r="CA112" s="354">
        <v>0</v>
      </c>
      <c r="CB112" s="354">
        <v>0</v>
      </c>
      <c r="CC112" s="354">
        <v>1007.351437</v>
      </c>
      <c r="CD112" s="354">
        <v>402.71593200000001</v>
      </c>
      <c r="CE112" s="354">
        <v>0</v>
      </c>
      <c r="CF112" s="832">
        <v>765.310834</v>
      </c>
      <c r="CG112" s="832">
        <v>0</v>
      </c>
      <c r="CH112" s="832">
        <v>0</v>
      </c>
      <c r="CI112" s="832">
        <v>630.00111100000004</v>
      </c>
      <c r="CJ112" s="832">
        <v>362.49452000000002</v>
      </c>
      <c r="CK112" s="832">
        <v>0</v>
      </c>
      <c r="CL112" s="832">
        <v>0</v>
      </c>
      <c r="CM112" s="832">
        <v>0</v>
      </c>
      <c r="CN112" s="832">
        <v>0</v>
      </c>
      <c r="CO112" s="833">
        <v>0</v>
      </c>
      <c r="CP112" s="667">
        <v>709.44382199999995</v>
      </c>
      <c r="CQ112" s="354">
        <v>0</v>
      </c>
      <c r="CR112" s="667">
        <v>922.285797</v>
      </c>
      <c r="CS112" s="667">
        <v>764.41176499999995</v>
      </c>
      <c r="CT112" s="354">
        <v>0</v>
      </c>
      <c r="CU112" s="354">
        <v>239.82897600000001</v>
      </c>
      <c r="CV112" s="354"/>
      <c r="CW112" s="354"/>
      <c r="CX112" s="354">
        <v>0</v>
      </c>
      <c r="CY112" s="354">
        <v>0</v>
      </c>
      <c r="CZ112" s="354">
        <v>0</v>
      </c>
      <c r="DA112" s="354">
        <v>0</v>
      </c>
      <c r="DB112" s="354">
        <v>0</v>
      </c>
      <c r="DC112" s="354">
        <v>0</v>
      </c>
      <c r="DD112" s="354">
        <v>0</v>
      </c>
      <c r="DE112" s="354">
        <v>0</v>
      </c>
      <c r="DF112" s="354">
        <v>277.64427699999897</v>
      </c>
      <c r="DG112" s="354">
        <v>0</v>
      </c>
      <c r="DH112" s="354">
        <v>0</v>
      </c>
      <c r="DI112" s="354">
        <v>0</v>
      </c>
      <c r="DJ112" s="354">
        <v>0</v>
      </c>
      <c r="DK112" s="354"/>
      <c r="DL112" s="354"/>
      <c r="DM112" s="354"/>
      <c r="DN112" s="354"/>
      <c r="DO112" s="354"/>
      <c r="DP112" s="354"/>
      <c r="DQ112" s="354"/>
      <c r="DR112" s="354"/>
      <c r="DS112" s="354"/>
      <c r="DT112" s="354"/>
      <c r="DU112" s="354"/>
      <c r="DV112" s="354"/>
      <c r="DW112" s="543">
        <f t="shared" si="17"/>
        <v>7940.1490459999986</v>
      </c>
      <c r="DX112" s="858">
        <f>DW112+DW113+DW114</f>
        <v>7940.1490459999986</v>
      </c>
      <c r="DY112" s="704">
        <f>+DX112*1000000</f>
        <v>7940149045.999999</v>
      </c>
      <c r="DZ112" s="870">
        <f>+DY112-D112</f>
        <v>0</v>
      </c>
      <c r="EA112" s="873">
        <f>VLOOKUP(POA!$B112,'Detalle Plan de Adquisiciones'!$G$6:$AF$66,23,0)</f>
        <v>42202</v>
      </c>
      <c r="EB112" s="859">
        <f>VLOOKUP(POA!$B112,'Detalle Plan de Adquisiciones'!$G$6:$AF$66,25,0)</f>
        <v>42599</v>
      </c>
      <c r="EC112" s="859">
        <f>EB112+30</f>
        <v>42629</v>
      </c>
      <c r="ED112" s="859" t="str">
        <f>CONCATENATE(MONTH(EA112),"-",YEAR(EA112))</f>
        <v>7-2015</v>
      </c>
      <c r="EE112" s="859" t="str">
        <f>CONCATENATE(MONTH(EB112),"-",YEAR(EB112))</f>
        <v>8-2016</v>
      </c>
      <c r="EF112" s="861" t="str">
        <f>CONCATENATE(MONTH(EC112),"-",YEAR(EC112))</f>
        <v>9-2016</v>
      </c>
      <c r="EG112" s="1105">
        <f>+YEAR(EA112)</f>
        <v>2015</v>
      </c>
      <c r="EH112" s="393">
        <f>+DY112</f>
        <v>7940149045.999999</v>
      </c>
      <c r="EI112" s="858">
        <f>+DW112+DW113+DW114</f>
        <v>7940.1490459999986</v>
      </c>
      <c r="EJ112" s="877">
        <f>+D112/1000000-EI112</f>
        <v>0</v>
      </c>
      <c r="EL112" s="585"/>
      <c r="EM112" s="555"/>
      <c r="ER112" s="497"/>
      <c r="ES112" s="365"/>
      <c r="ET112" s="365"/>
    </row>
    <row r="113" spans="1:148" s="278" customFormat="1" outlineLevel="2" x14ac:dyDescent="0.2">
      <c r="A113" s="971"/>
      <c r="B113" s="974"/>
      <c r="C113" s="980"/>
      <c r="D113" s="1022"/>
      <c r="E113" s="996"/>
      <c r="F113" s="311" t="s">
        <v>210</v>
      </c>
      <c r="G113" s="363">
        <v>0</v>
      </c>
      <c r="H113" s="363">
        <v>0</v>
      </c>
      <c r="I113" s="363">
        <v>0</v>
      </c>
      <c r="J113" s="363">
        <v>0</v>
      </c>
      <c r="K113" s="363">
        <v>0</v>
      </c>
      <c r="L113" s="363">
        <v>0</v>
      </c>
      <c r="M113" s="363">
        <v>0</v>
      </c>
      <c r="N113" s="363">
        <v>0</v>
      </c>
      <c r="O113" s="363">
        <v>0</v>
      </c>
      <c r="P113" s="363">
        <v>0</v>
      </c>
      <c r="Q113" s="363">
        <v>0</v>
      </c>
      <c r="R113" s="363">
        <v>0</v>
      </c>
      <c r="S113" s="363">
        <v>0</v>
      </c>
      <c r="T113" s="363">
        <v>0</v>
      </c>
      <c r="U113" s="363">
        <v>0</v>
      </c>
      <c r="V113" s="363">
        <v>0</v>
      </c>
      <c r="W113" s="363">
        <v>0</v>
      </c>
      <c r="X113" s="363">
        <v>0</v>
      </c>
      <c r="Y113" s="363">
        <v>0</v>
      </c>
      <c r="Z113" s="363">
        <v>0</v>
      </c>
      <c r="AA113" s="363">
        <v>0</v>
      </c>
      <c r="AB113" s="363">
        <v>0</v>
      </c>
      <c r="AC113" s="363">
        <v>0</v>
      </c>
      <c r="AD113" s="363">
        <v>0</v>
      </c>
      <c r="AE113" s="363">
        <v>0</v>
      </c>
      <c r="AF113" s="363">
        <v>0</v>
      </c>
      <c r="AG113" s="363">
        <v>0</v>
      </c>
      <c r="AH113" s="363">
        <v>0</v>
      </c>
      <c r="AI113" s="363">
        <v>0</v>
      </c>
      <c r="AJ113" s="363">
        <v>0</v>
      </c>
      <c r="AK113" s="363">
        <v>0</v>
      </c>
      <c r="AL113" s="363">
        <v>0</v>
      </c>
      <c r="AM113" s="363">
        <v>0</v>
      </c>
      <c r="AN113" s="363">
        <v>0</v>
      </c>
      <c r="AO113" s="363">
        <v>0</v>
      </c>
      <c r="AP113" s="363">
        <v>0</v>
      </c>
      <c r="AQ113" s="363">
        <v>0</v>
      </c>
      <c r="AR113" s="363">
        <v>0</v>
      </c>
      <c r="AS113" s="363">
        <v>0</v>
      </c>
      <c r="AT113" s="363">
        <v>0</v>
      </c>
      <c r="AU113" s="363">
        <v>0</v>
      </c>
      <c r="AV113" s="363">
        <v>0</v>
      </c>
      <c r="AW113" s="363">
        <v>0</v>
      </c>
      <c r="AX113" s="363">
        <v>0</v>
      </c>
      <c r="AY113" s="363">
        <v>0</v>
      </c>
      <c r="AZ113" s="363">
        <v>0</v>
      </c>
      <c r="BA113" s="363">
        <v>0</v>
      </c>
      <c r="BB113" s="363">
        <v>0</v>
      </c>
      <c r="BC113" s="363">
        <v>0</v>
      </c>
      <c r="BD113" s="363">
        <v>0</v>
      </c>
      <c r="BE113" s="363">
        <v>0</v>
      </c>
      <c r="BF113" s="363">
        <v>0</v>
      </c>
      <c r="BG113" s="363">
        <v>0</v>
      </c>
      <c r="BH113" s="363">
        <v>0</v>
      </c>
      <c r="BI113" s="363">
        <v>0</v>
      </c>
      <c r="BJ113" s="363">
        <v>0</v>
      </c>
      <c r="BK113" s="363">
        <v>0</v>
      </c>
      <c r="BL113" s="363">
        <v>0</v>
      </c>
      <c r="BM113" s="363">
        <v>0</v>
      </c>
      <c r="BN113" s="363">
        <v>0</v>
      </c>
      <c r="BO113" s="363">
        <v>0</v>
      </c>
      <c r="BP113" s="363">
        <v>0</v>
      </c>
      <c r="BQ113" s="363">
        <v>0</v>
      </c>
      <c r="BR113" s="363">
        <v>0</v>
      </c>
      <c r="BS113" s="363">
        <v>0</v>
      </c>
      <c r="BT113" s="363">
        <v>0</v>
      </c>
      <c r="BU113" s="363">
        <v>0</v>
      </c>
      <c r="BV113" s="363">
        <v>0</v>
      </c>
      <c r="BW113" s="363">
        <v>0</v>
      </c>
      <c r="BX113" s="363">
        <v>0</v>
      </c>
      <c r="BY113" s="363">
        <v>0</v>
      </c>
      <c r="BZ113" s="363">
        <v>0</v>
      </c>
      <c r="CA113" s="363">
        <v>0</v>
      </c>
      <c r="CB113" s="363">
        <v>0</v>
      </c>
      <c r="CC113" s="363">
        <v>0</v>
      </c>
      <c r="CD113" s="363">
        <v>0</v>
      </c>
      <c r="CE113" s="363">
        <v>0</v>
      </c>
      <c r="CF113" s="363">
        <v>0</v>
      </c>
      <c r="CG113" s="363">
        <v>0</v>
      </c>
      <c r="CH113" s="363">
        <v>0</v>
      </c>
      <c r="CI113" s="363">
        <v>0</v>
      </c>
      <c r="CJ113" s="363"/>
      <c r="CK113" s="363">
        <v>0</v>
      </c>
      <c r="CL113" s="363">
        <v>0</v>
      </c>
      <c r="CM113" s="363">
        <v>0</v>
      </c>
      <c r="CN113" s="363">
        <v>0</v>
      </c>
      <c r="CO113" s="363">
        <v>0</v>
      </c>
      <c r="CP113" s="363">
        <v>0</v>
      </c>
      <c r="CQ113" s="363">
        <v>0</v>
      </c>
      <c r="CR113" s="363">
        <v>0</v>
      </c>
      <c r="CS113" s="363"/>
      <c r="CT113" s="363">
        <v>0</v>
      </c>
      <c r="CU113" s="363">
        <v>0</v>
      </c>
      <c r="CV113" s="363">
        <v>0</v>
      </c>
      <c r="CW113" s="363">
        <v>0</v>
      </c>
      <c r="CX113" s="363">
        <v>0</v>
      </c>
      <c r="CY113" s="363">
        <v>0</v>
      </c>
      <c r="CZ113" s="363">
        <v>0</v>
      </c>
      <c r="DA113" s="363">
        <v>0</v>
      </c>
      <c r="DB113" s="363">
        <v>0</v>
      </c>
      <c r="DC113" s="363">
        <v>0</v>
      </c>
      <c r="DD113" s="363">
        <v>0</v>
      </c>
      <c r="DE113" s="363">
        <v>0</v>
      </c>
      <c r="DF113" s="363">
        <v>0</v>
      </c>
      <c r="DG113" s="363">
        <v>0</v>
      </c>
      <c r="DH113" s="363">
        <v>0</v>
      </c>
      <c r="DI113" s="363">
        <v>0</v>
      </c>
      <c r="DJ113" s="363">
        <v>0</v>
      </c>
      <c r="DK113" s="363"/>
      <c r="DL113" s="363"/>
      <c r="DM113" s="363"/>
      <c r="DN113" s="363"/>
      <c r="DO113" s="363"/>
      <c r="DP113" s="363"/>
      <c r="DQ113" s="363"/>
      <c r="DR113" s="363"/>
      <c r="DS113" s="363"/>
      <c r="DT113" s="363"/>
      <c r="DU113" s="363"/>
      <c r="DV113" s="363"/>
      <c r="DW113" s="544">
        <f t="shared" si="17"/>
        <v>0</v>
      </c>
      <c r="DX113" s="858"/>
      <c r="DY113" s="705"/>
      <c r="DZ113" s="871"/>
      <c r="EA113" s="873"/>
      <c r="EB113" s="859"/>
      <c r="EC113" s="859"/>
      <c r="ED113" s="859"/>
      <c r="EE113" s="859"/>
      <c r="EF113" s="861"/>
      <c r="EG113" s="1106"/>
      <c r="EI113" s="858"/>
      <c r="EJ113" s="877"/>
      <c r="ER113" s="497"/>
    </row>
    <row r="114" spans="1:148" s="278" customFormat="1" ht="45" customHeight="1" outlineLevel="2" thickBot="1" x14ac:dyDescent="0.25">
      <c r="A114" s="999"/>
      <c r="B114" s="1059"/>
      <c r="C114" s="981"/>
      <c r="D114" s="1060"/>
      <c r="E114" s="997"/>
      <c r="F114" s="313" t="s">
        <v>211</v>
      </c>
      <c r="G114" s="387">
        <v>0</v>
      </c>
      <c r="H114" s="387">
        <v>0</v>
      </c>
      <c r="I114" s="387">
        <v>0</v>
      </c>
      <c r="J114" s="387">
        <v>0</v>
      </c>
      <c r="K114" s="387">
        <v>0</v>
      </c>
      <c r="L114" s="387">
        <v>0</v>
      </c>
      <c r="M114" s="387">
        <v>0</v>
      </c>
      <c r="N114" s="387">
        <v>0</v>
      </c>
      <c r="O114" s="387">
        <v>0</v>
      </c>
      <c r="P114" s="387">
        <v>0</v>
      </c>
      <c r="Q114" s="387">
        <v>0</v>
      </c>
      <c r="R114" s="387">
        <v>0</v>
      </c>
      <c r="S114" s="387">
        <v>0</v>
      </c>
      <c r="T114" s="387">
        <v>0</v>
      </c>
      <c r="U114" s="387">
        <v>0</v>
      </c>
      <c r="V114" s="387">
        <v>0</v>
      </c>
      <c r="W114" s="387">
        <v>0</v>
      </c>
      <c r="X114" s="387">
        <v>0</v>
      </c>
      <c r="Y114" s="387">
        <v>0</v>
      </c>
      <c r="Z114" s="387">
        <v>0</v>
      </c>
      <c r="AA114" s="387">
        <v>0</v>
      </c>
      <c r="AB114" s="387">
        <v>0</v>
      </c>
      <c r="AC114" s="387">
        <v>0</v>
      </c>
      <c r="AD114" s="387">
        <v>0</v>
      </c>
      <c r="AE114" s="387">
        <v>0</v>
      </c>
      <c r="AF114" s="387">
        <v>0</v>
      </c>
      <c r="AG114" s="387">
        <v>0</v>
      </c>
      <c r="AH114" s="387">
        <v>0</v>
      </c>
      <c r="AI114" s="387">
        <v>0</v>
      </c>
      <c r="AJ114" s="387">
        <v>0</v>
      </c>
      <c r="AK114" s="387">
        <v>0</v>
      </c>
      <c r="AL114" s="387">
        <v>0</v>
      </c>
      <c r="AM114" s="387">
        <v>0</v>
      </c>
      <c r="AN114" s="387">
        <v>0</v>
      </c>
      <c r="AO114" s="387">
        <v>0</v>
      </c>
      <c r="AP114" s="387">
        <v>0</v>
      </c>
      <c r="AQ114" s="387">
        <v>0</v>
      </c>
      <c r="AR114" s="387">
        <v>0</v>
      </c>
      <c r="AS114" s="387">
        <v>0</v>
      </c>
      <c r="AT114" s="387">
        <v>0</v>
      </c>
      <c r="AU114" s="387">
        <v>0</v>
      </c>
      <c r="AV114" s="387">
        <v>0</v>
      </c>
      <c r="AW114" s="387">
        <v>0</v>
      </c>
      <c r="AX114" s="387">
        <v>0</v>
      </c>
      <c r="AY114" s="387">
        <v>0</v>
      </c>
      <c r="AZ114" s="387">
        <v>0</v>
      </c>
      <c r="BA114" s="387">
        <v>0</v>
      </c>
      <c r="BB114" s="387">
        <v>0</v>
      </c>
      <c r="BC114" s="387">
        <v>0</v>
      </c>
      <c r="BD114" s="387">
        <v>0</v>
      </c>
      <c r="BE114" s="387">
        <v>0</v>
      </c>
      <c r="BF114" s="387">
        <v>0</v>
      </c>
      <c r="BG114" s="387">
        <v>0</v>
      </c>
      <c r="BH114" s="387">
        <v>0</v>
      </c>
      <c r="BI114" s="387">
        <v>0</v>
      </c>
      <c r="BJ114" s="387">
        <v>0</v>
      </c>
      <c r="BK114" s="387">
        <v>0</v>
      </c>
      <c r="BL114" s="387">
        <v>0</v>
      </c>
      <c r="BM114" s="387">
        <v>0</v>
      </c>
      <c r="BN114" s="387">
        <v>0</v>
      </c>
      <c r="BO114" s="387">
        <v>0</v>
      </c>
      <c r="BP114" s="387">
        <v>0</v>
      </c>
      <c r="BQ114" s="387">
        <v>0</v>
      </c>
      <c r="BR114" s="387">
        <v>0</v>
      </c>
      <c r="BS114" s="387">
        <v>0</v>
      </c>
      <c r="BT114" s="387">
        <v>0</v>
      </c>
      <c r="BU114" s="387">
        <v>0</v>
      </c>
      <c r="BV114" s="387"/>
      <c r="BW114" s="387"/>
      <c r="BX114" s="387"/>
      <c r="BY114" s="387"/>
      <c r="BZ114" s="387">
        <v>0</v>
      </c>
      <c r="CA114" s="387">
        <v>0</v>
      </c>
      <c r="CB114" s="387">
        <v>0</v>
      </c>
      <c r="CC114" s="387"/>
      <c r="CD114" s="387"/>
      <c r="CE114" s="387">
        <v>0</v>
      </c>
      <c r="CF114" s="387">
        <v>0</v>
      </c>
      <c r="CG114" s="387">
        <v>0</v>
      </c>
      <c r="CH114" s="387">
        <v>0</v>
      </c>
      <c r="CI114" s="387">
        <v>0</v>
      </c>
      <c r="CJ114" s="387">
        <v>0</v>
      </c>
      <c r="CK114" s="387">
        <v>0</v>
      </c>
      <c r="CL114" s="387">
        <v>0</v>
      </c>
      <c r="CM114" s="387">
        <v>0</v>
      </c>
      <c r="CN114" s="387">
        <v>0</v>
      </c>
      <c r="CO114" s="387">
        <v>0</v>
      </c>
      <c r="CP114" s="387">
        <v>0</v>
      </c>
      <c r="CQ114" s="387">
        <v>0</v>
      </c>
      <c r="CR114" s="387">
        <v>0</v>
      </c>
      <c r="CS114" s="387">
        <v>0</v>
      </c>
      <c r="CT114" s="387">
        <v>0</v>
      </c>
      <c r="CU114" s="387"/>
      <c r="CV114" s="387">
        <v>0</v>
      </c>
      <c r="CW114" s="387">
        <v>0</v>
      </c>
      <c r="CX114" s="387">
        <v>0</v>
      </c>
      <c r="CY114" s="387">
        <v>0</v>
      </c>
      <c r="CZ114" s="387">
        <v>0</v>
      </c>
      <c r="DA114" s="387">
        <v>0</v>
      </c>
      <c r="DB114" s="387">
        <v>0</v>
      </c>
      <c r="DC114" s="387">
        <v>0</v>
      </c>
      <c r="DD114" s="387">
        <v>0</v>
      </c>
      <c r="DE114" s="387">
        <v>0</v>
      </c>
      <c r="DF114" s="387">
        <v>0</v>
      </c>
      <c r="DG114" s="387">
        <v>0</v>
      </c>
      <c r="DH114" s="387">
        <v>0</v>
      </c>
      <c r="DI114" s="387">
        <v>0</v>
      </c>
      <c r="DJ114" s="387">
        <v>0</v>
      </c>
      <c r="DK114" s="387"/>
      <c r="DL114" s="387"/>
      <c r="DM114" s="387"/>
      <c r="DN114" s="387"/>
      <c r="DO114" s="387"/>
      <c r="DP114" s="387"/>
      <c r="DQ114" s="387"/>
      <c r="DR114" s="387"/>
      <c r="DS114" s="387"/>
      <c r="DT114" s="387"/>
      <c r="DU114" s="387"/>
      <c r="DV114" s="387"/>
      <c r="DW114" s="545">
        <f t="shared" si="17"/>
        <v>0</v>
      </c>
      <c r="DX114" s="858"/>
      <c r="DY114" s="706"/>
      <c r="DZ114" s="872"/>
      <c r="EA114" s="873"/>
      <c r="EB114" s="859"/>
      <c r="EC114" s="859"/>
      <c r="ED114" s="859"/>
      <c r="EE114" s="859"/>
      <c r="EF114" s="861"/>
      <c r="EG114" s="1107"/>
      <c r="EI114" s="858"/>
      <c r="EJ114" s="877"/>
      <c r="ER114" s="497"/>
    </row>
    <row r="115" spans="1:148" s="278" customFormat="1" ht="24" outlineLevel="2" x14ac:dyDescent="0.2">
      <c r="A115" s="970" t="s">
        <v>396</v>
      </c>
      <c r="B115" s="973" t="s">
        <v>186</v>
      </c>
      <c r="C115" s="979">
        <f>+C112</f>
        <v>13</v>
      </c>
      <c r="D115" s="1021">
        <f>+IFERROR(VLOOKUP(B115,'Detalle Plan de Adquisiciones'!$G$53:$L$153,6,FALSE),0)</f>
        <v>1161563092</v>
      </c>
      <c r="E115" s="866" t="str">
        <f>+'Detalle Plan de Adquisiciones'!F109</f>
        <v>INTERVENTORÍA TÉCNICA, ADMINISTRATIVA, FINANCIERA Y AMBIENTAL AL CONTRATO CUYO OBJETO ES LA CONSTRUCCIÓN DEL CENTRO INTEGRADO DE SERVICIO AL CIUDADANO - CISC, ID (PD4). PERTENECIENTE AL SISTEMA ESTRATÉGICO DE TRANSPORTE PUBLICO "SETP" DE LA CIUDAD DE MONTERÍA</v>
      </c>
      <c r="F115" s="312" t="s">
        <v>410</v>
      </c>
      <c r="G115" s="354">
        <v>0</v>
      </c>
      <c r="H115" s="354">
        <v>0</v>
      </c>
      <c r="I115" s="354">
        <v>0</v>
      </c>
      <c r="J115" s="354">
        <v>0</v>
      </c>
      <c r="K115" s="354">
        <v>0</v>
      </c>
      <c r="L115" s="354">
        <v>0</v>
      </c>
      <c r="M115" s="354">
        <v>0</v>
      </c>
      <c r="N115" s="354">
        <v>0</v>
      </c>
      <c r="O115" s="354">
        <v>0</v>
      </c>
      <c r="P115" s="354">
        <v>0</v>
      </c>
      <c r="Q115" s="354">
        <v>0</v>
      </c>
      <c r="R115" s="354">
        <v>0</v>
      </c>
      <c r="S115" s="354">
        <v>0</v>
      </c>
      <c r="T115" s="354">
        <v>0</v>
      </c>
      <c r="U115" s="354">
        <v>0</v>
      </c>
      <c r="V115" s="354">
        <v>0</v>
      </c>
      <c r="W115" s="354">
        <v>0</v>
      </c>
      <c r="X115" s="354">
        <v>0</v>
      </c>
      <c r="Y115" s="354">
        <v>0</v>
      </c>
      <c r="Z115" s="354">
        <v>0</v>
      </c>
      <c r="AA115" s="354">
        <v>0</v>
      </c>
      <c r="AB115" s="354">
        <v>0</v>
      </c>
      <c r="AC115" s="354">
        <v>0</v>
      </c>
      <c r="AD115" s="354">
        <v>0</v>
      </c>
      <c r="AE115" s="354">
        <v>0</v>
      </c>
      <c r="AF115" s="354">
        <v>0</v>
      </c>
      <c r="AG115" s="354">
        <v>0</v>
      </c>
      <c r="AH115" s="354">
        <v>0</v>
      </c>
      <c r="AI115" s="354">
        <v>0</v>
      </c>
      <c r="AJ115" s="354">
        <v>0</v>
      </c>
      <c r="AK115" s="354">
        <v>0</v>
      </c>
      <c r="AL115" s="354">
        <v>0</v>
      </c>
      <c r="AM115" s="354">
        <v>0</v>
      </c>
      <c r="AN115" s="354">
        <v>0</v>
      </c>
      <c r="AO115" s="354">
        <v>0</v>
      </c>
      <c r="AP115" s="354">
        <v>0</v>
      </c>
      <c r="AQ115" s="354">
        <v>0</v>
      </c>
      <c r="AR115" s="354">
        <v>0</v>
      </c>
      <c r="AS115" s="354">
        <v>0</v>
      </c>
      <c r="AT115" s="354">
        <v>0</v>
      </c>
      <c r="AU115" s="354">
        <v>0</v>
      </c>
      <c r="AV115" s="354">
        <v>0</v>
      </c>
      <c r="AW115" s="354">
        <v>0</v>
      </c>
      <c r="AX115" s="354">
        <v>0</v>
      </c>
      <c r="AY115" s="354">
        <v>0</v>
      </c>
      <c r="AZ115" s="354">
        <v>0</v>
      </c>
      <c r="BA115" s="354">
        <v>0</v>
      </c>
      <c r="BB115" s="354">
        <v>0</v>
      </c>
      <c r="BC115" s="354">
        <v>0</v>
      </c>
      <c r="BD115" s="354">
        <v>0</v>
      </c>
      <c r="BE115" s="354">
        <v>0</v>
      </c>
      <c r="BF115" s="354">
        <v>0</v>
      </c>
      <c r="BG115" s="354">
        <v>0</v>
      </c>
      <c r="BH115" s="354">
        <v>0</v>
      </c>
      <c r="BI115" s="354">
        <v>0</v>
      </c>
      <c r="BJ115" s="354">
        <v>0</v>
      </c>
      <c r="BK115" s="354">
        <v>0</v>
      </c>
      <c r="BL115" s="354">
        <v>0</v>
      </c>
      <c r="BM115" s="354">
        <v>0</v>
      </c>
      <c r="BN115" s="354">
        <v>0</v>
      </c>
      <c r="BO115" s="354">
        <v>0</v>
      </c>
      <c r="BP115" s="354">
        <v>0</v>
      </c>
      <c r="BQ115" s="354">
        <v>0</v>
      </c>
      <c r="BR115" s="354">
        <v>0</v>
      </c>
      <c r="BS115" s="354">
        <v>0</v>
      </c>
      <c r="BT115" s="354">
        <v>0</v>
      </c>
      <c r="BU115" s="567">
        <v>0</v>
      </c>
      <c r="BV115" s="567">
        <v>0</v>
      </c>
      <c r="BW115" s="567">
        <v>0</v>
      </c>
      <c r="BX115" s="354">
        <v>0</v>
      </c>
      <c r="BY115" s="354">
        <v>0</v>
      </c>
      <c r="BZ115" s="354">
        <v>0</v>
      </c>
      <c r="CA115" s="354">
        <v>0</v>
      </c>
      <c r="CB115" s="354">
        <v>0</v>
      </c>
      <c r="CC115" s="354">
        <v>0</v>
      </c>
      <c r="CD115" s="354">
        <v>0</v>
      </c>
      <c r="CE115" s="354">
        <v>0</v>
      </c>
      <c r="CF115" s="354">
        <v>0</v>
      </c>
      <c r="CG115" s="354">
        <v>0</v>
      </c>
      <c r="CH115" s="354">
        <v>0</v>
      </c>
      <c r="CI115" s="354">
        <v>39.389209000000001</v>
      </c>
      <c r="CJ115" s="832">
        <v>39.389209000000001</v>
      </c>
      <c r="CK115" s="662">
        <v>39.389209000000001</v>
      </c>
      <c r="CL115" s="662"/>
      <c r="CM115" s="662">
        <v>0</v>
      </c>
      <c r="CN115" s="393"/>
      <c r="CO115" s="660">
        <v>0</v>
      </c>
      <c r="CP115" s="660">
        <v>0</v>
      </c>
      <c r="CQ115" s="666">
        <v>78.555639999999997</v>
      </c>
      <c r="CR115" s="666">
        <v>0</v>
      </c>
      <c r="CS115" s="666">
        <v>39.277819999999998</v>
      </c>
      <c r="CT115" s="666">
        <v>39.277820000000013</v>
      </c>
      <c r="CU115" s="666">
        <v>0</v>
      </c>
      <c r="CV115" s="666">
        <v>39.277819999999998</v>
      </c>
      <c r="CW115" s="666"/>
      <c r="CX115" s="666">
        <v>0</v>
      </c>
      <c r="CY115" s="666">
        <v>0</v>
      </c>
      <c r="CZ115" s="354">
        <v>0</v>
      </c>
      <c r="DA115" s="354">
        <v>0</v>
      </c>
      <c r="DB115" s="354">
        <v>0</v>
      </c>
      <c r="DC115" s="354">
        <v>0</v>
      </c>
      <c r="DD115" s="354">
        <v>0</v>
      </c>
      <c r="DE115" s="666">
        <v>176.97296499999999</v>
      </c>
      <c r="DF115" s="666">
        <v>0</v>
      </c>
      <c r="DG115" s="354">
        <v>0</v>
      </c>
      <c r="DH115" s="354">
        <v>0</v>
      </c>
      <c r="DI115" s="354">
        <v>0</v>
      </c>
      <c r="DJ115" s="354">
        <v>0</v>
      </c>
      <c r="DK115" s="354"/>
      <c r="DL115" s="354"/>
      <c r="DM115" s="354"/>
      <c r="DN115" s="354"/>
      <c r="DO115" s="354"/>
      <c r="DP115" s="354"/>
      <c r="DQ115" s="354"/>
      <c r="DR115" s="354"/>
      <c r="DS115" s="354"/>
      <c r="DT115" s="354"/>
      <c r="DU115" s="354"/>
      <c r="DV115" s="354"/>
      <c r="DW115" s="543">
        <f t="shared" si="17"/>
        <v>491.52969200000001</v>
      </c>
      <c r="DX115" s="858">
        <f>DW115+DW116+DW117</f>
        <v>1161.5630920000001</v>
      </c>
      <c r="DY115" s="704">
        <f>+DX115*1000000</f>
        <v>1161563092</v>
      </c>
      <c r="DZ115" s="1038">
        <f>+DY115-D115</f>
        <v>0</v>
      </c>
      <c r="EA115" s="873">
        <f>VLOOKUP(POA!$B115,INTERPLAN,28,0)</f>
        <v>42202</v>
      </c>
      <c r="EB115" s="859">
        <f>+EDATE(EA115,C115)</f>
        <v>42599</v>
      </c>
      <c r="EC115" s="859">
        <f>EB115+30</f>
        <v>42629</v>
      </c>
      <c r="ED115" s="859" t="str">
        <f>CONCATENATE(MONTH(EA115),"-",YEAR(EA115))</f>
        <v>7-2015</v>
      </c>
      <c r="EE115" s="859" t="str">
        <f>CONCATENATE(MONTH(EB115),"-",YEAR(EB115))</f>
        <v>8-2016</v>
      </c>
      <c r="EF115" s="861" t="str">
        <f>CONCATENATE(MONTH(EC115),"-",YEAR(EC115))</f>
        <v>9-2016</v>
      </c>
      <c r="EG115" s="1105">
        <f>+YEAR(EA115)</f>
        <v>2015</v>
      </c>
      <c r="EH115" s="393">
        <f>+DY115</f>
        <v>1161563092</v>
      </c>
      <c r="EI115" s="858">
        <f>+DW115+DW116+DW117</f>
        <v>1161.5630920000001</v>
      </c>
      <c r="EJ115" s="877">
        <f>+D115/1000000-EI115</f>
        <v>0</v>
      </c>
      <c r="ER115" s="497"/>
    </row>
    <row r="116" spans="1:148" s="278" customFormat="1" outlineLevel="2" x14ac:dyDescent="0.2">
      <c r="A116" s="971"/>
      <c r="B116" s="974"/>
      <c r="C116" s="980"/>
      <c r="D116" s="1022"/>
      <c r="E116" s="867"/>
      <c r="F116" s="311" t="s">
        <v>210</v>
      </c>
      <c r="G116" s="363">
        <v>0</v>
      </c>
      <c r="H116" s="363">
        <v>0</v>
      </c>
      <c r="I116" s="363">
        <v>0</v>
      </c>
      <c r="J116" s="363">
        <v>0</v>
      </c>
      <c r="K116" s="363">
        <v>0</v>
      </c>
      <c r="L116" s="363">
        <v>0</v>
      </c>
      <c r="M116" s="363">
        <v>0</v>
      </c>
      <c r="N116" s="363">
        <v>0</v>
      </c>
      <c r="O116" s="363">
        <v>0</v>
      </c>
      <c r="P116" s="363">
        <v>0</v>
      </c>
      <c r="Q116" s="363">
        <v>0</v>
      </c>
      <c r="R116" s="363">
        <v>0</v>
      </c>
      <c r="S116" s="363">
        <v>0</v>
      </c>
      <c r="T116" s="363">
        <v>0</v>
      </c>
      <c r="U116" s="363">
        <v>0</v>
      </c>
      <c r="V116" s="363">
        <v>0</v>
      </c>
      <c r="W116" s="363">
        <v>0</v>
      </c>
      <c r="X116" s="363">
        <v>0</v>
      </c>
      <c r="Y116" s="363">
        <v>0</v>
      </c>
      <c r="Z116" s="363">
        <v>0</v>
      </c>
      <c r="AA116" s="363">
        <v>0</v>
      </c>
      <c r="AB116" s="363">
        <v>0</v>
      </c>
      <c r="AC116" s="363">
        <v>0</v>
      </c>
      <c r="AD116" s="363">
        <v>0</v>
      </c>
      <c r="AE116" s="363">
        <v>0</v>
      </c>
      <c r="AF116" s="363">
        <v>0</v>
      </c>
      <c r="AG116" s="363">
        <v>0</v>
      </c>
      <c r="AH116" s="363">
        <v>0</v>
      </c>
      <c r="AI116" s="363">
        <v>0</v>
      </c>
      <c r="AJ116" s="363">
        <v>0</v>
      </c>
      <c r="AK116" s="363">
        <v>0</v>
      </c>
      <c r="AL116" s="363">
        <v>0</v>
      </c>
      <c r="AM116" s="363">
        <v>0</v>
      </c>
      <c r="AN116" s="363">
        <v>0</v>
      </c>
      <c r="AO116" s="363">
        <v>0</v>
      </c>
      <c r="AP116" s="363">
        <v>0</v>
      </c>
      <c r="AQ116" s="363">
        <v>0</v>
      </c>
      <c r="AR116" s="363">
        <v>0</v>
      </c>
      <c r="AS116" s="363">
        <v>0</v>
      </c>
      <c r="AT116" s="363">
        <v>0</v>
      </c>
      <c r="AU116" s="363">
        <v>0</v>
      </c>
      <c r="AV116" s="363">
        <v>0</v>
      </c>
      <c r="AW116" s="363">
        <v>0</v>
      </c>
      <c r="AX116" s="363">
        <v>0</v>
      </c>
      <c r="AY116" s="363">
        <v>0</v>
      </c>
      <c r="AZ116" s="363">
        <v>0</v>
      </c>
      <c r="BA116" s="363">
        <v>0</v>
      </c>
      <c r="BB116" s="363">
        <v>0</v>
      </c>
      <c r="BC116" s="363">
        <v>0</v>
      </c>
      <c r="BD116" s="363">
        <v>0</v>
      </c>
      <c r="BE116" s="363">
        <v>0</v>
      </c>
      <c r="BF116" s="363">
        <v>0</v>
      </c>
      <c r="BG116" s="363">
        <v>0</v>
      </c>
      <c r="BH116" s="363">
        <v>0</v>
      </c>
      <c r="BI116" s="363">
        <v>0</v>
      </c>
      <c r="BJ116" s="363">
        <v>0</v>
      </c>
      <c r="BK116" s="363">
        <v>0</v>
      </c>
      <c r="BL116" s="363">
        <v>0</v>
      </c>
      <c r="BM116" s="363">
        <v>0</v>
      </c>
      <c r="BN116" s="363">
        <v>0</v>
      </c>
      <c r="BO116" s="363">
        <v>0</v>
      </c>
      <c r="BP116" s="363">
        <v>0</v>
      </c>
      <c r="BQ116" s="363">
        <v>0</v>
      </c>
      <c r="BR116" s="363">
        <v>0</v>
      </c>
      <c r="BS116" s="363">
        <v>0</v>
      </c>
      <c r="BT116" s="363">
        <v>0</v>
      </c>
      <c r="BU116" s="523">
        <v>0</v>
      </c>
      <c r="BV116" s="523">
        <v>0</v>
      </c>
      <c r="BW116" s="523">
        <v>0</v>
      </c>
      <c r="BX116" s="363">
        <v>0</v>
      </c>
      <c r="BY116" s="363">
        <v>0</v>
      </c>
      <c r="BZ116" s="363">
        <v>0</v>
      </c>
      <c r="CA116" s="363">
        <v>0</v>
      </c>
      <c r="CB116" s="363">
        <v>0</v>
      </c>
      <c r="CC116" s="363">
        <v>0</v>
      </c>
      <c r="CD116" s="363">
        <v>0</v>
      </c>
      <c r="CE116" s="363">
        <v>0</v>
      </c>
      <c r="CF116" s="363">
        <v>0</v>
      </c>
      <c r="CG116" s="363">
        <v>0</v>
      </c>
      <c r="CH116" s="363">
        <v>0</v>
      </c>
      <c r="CI116" s="363">
        <v>0</v>
      </c>
      <c r="CJ116" s="363">
        <v>0</v>
      </c>
      <c r="CK116" s="363">
        <v>0</v>
      </c>
      <c r="CL116" s="363">
        <v>0</v>
      </c>
      <c r="CM116" s="363">
        <v>0</v>
      </c>
      <c r="CN116" s="363">
        <v>0</v>
      </c>
      <c r="CO116" s="523">
        <v>0</v>
      </c>
      <c r="CP116" s="523">
        <v>0</v>
      </c>
      <c r="CQ116" s="363">
        <v>0</v>
      </c>
      <c r="CR116" s="363">
        <v>0</v>
      </c>
      <c r="CS116" s="363"/>
      <c r="CT116" s="669"/>
      <c r="CU116" s="363">
        <v>0</v>
      </c>
      <c r="CV116" s="363"/>
      <c r="CW116" s="363"/>
      <c r="CX116" s="363">
        <v>0</v>
      </c>
      <c r="CY116" s="363">
        <v>0</v>
      </c>
      <c r="CZ116" s="363">
        <v>0</v>
      </c>
      <c r="DA116" s="363"/>
      <c r="DB116" s="363">
        <v>0</v>
      </c>
      <c r="DC116" s="363">
        <v>0</v>
      </c>
      <c r="DD116" s="363">
        <v>0</v>
      </c>
      <c r="DE116" s="363">
        <v>0</v>
      </c>
      <c r="DF116" s="363">
        <v>0</v>
      </c>
      <c r="DG116" s="363">
        <v>0</v>
      </c>
      <c r="DH116" s="363">
        <v>0</v>
      </c>
      <c r="DI116" s="363">
        <v>0</v>
      </c>
      <c r="DJ116" s="363">
        <v>0</v>
      </c>
      <c r="DK116" s="363"/>
      <c r="DL116" s="363"/>
      <c r="DM116" s="363"/>
      <c r="DN116" s="363"/>
      <c r="DO116" s="363"/>
      <c r="DP116" s="363"/>
      <c r="DQ116" s="363"/>
      <c r="DR116" s="363"/>
      <c r="DS116" s="363"/>
      <c r="DT116" s="363"/>
      <c r="DU116" s="363"/>
      <c r="DV116" s="363"/>
      <c r="DW116" s="544">
        <f t="shared" si="17"/>
        <v>0</v>
      </c>
      <c r="DX116" s="858"/>
      <c r="DY116" s="705"/>
      <c r="DZ116" s="1039"/>
      <c r="EA116" s="873"/>
      <c r="EB116" s="859"/>
      <c r="EC116" s="859"/>
      <c r="ED116" s="859"/>
      <c r="EE116" s="859"/>
      <c r="EF116" s="861"/>
      <c r="EG116" s="1106"/>
      <c r="EI116" s="858"/>
      <c r="EJ116" s="877"/>
      <c r="ER116" s="497"/>
    </row>
    <row r="117" spans="1:148" s="278" customFormat="1" ht="80.25" customHeight="1" outlineLevel="2" thickBot="1" x14ac:dyDescent="0.25">
      <c r="A117" s="999"/>
      <c r="B117" s="1059"/>
      <c r="C117" s="981"/>
      <c r="D117" s="1060"/>
      <c r="E117" s="875"/>
      <c r="F117" s="313" t="s">
        <v>211</v>
      </c>
      <c r="G117" s="387">
        <v>0</v>
      </c>
      <c r="H117" s="387">
        <v>0</v>
      </c>
      <c r="I117" s="387">
        <v>0</v>
      </c>
      <c r="J117" s="387">
        <v>0</v>
      </c>
      <c r="K117" s="387">
        <v>0</v>
      </c>
      <c r="L117" s="387">
        <v>0</v>
      </c>
      <c r="M117" s="387">
        <v>0</v>
      </c>
      <c r="N117" s="387">
        <v>0</v>
      </c>
      <c r="O117" s="387">
        <v>0</v>
      </c>
      <c r="P117" s="387">
        <v>0</v>
      </c>
      <c r="Q117" s="387">
        <v>0</v>
      </c>
      <c r="R117" s="387">
        <v>0</v>
      </c>
      <c r="S117" s="387">
        <v>0</v>
      </c>
      <c r="T117" s="387">
        <v>0</v>
      </c>
      <c r="U117" s="387">
        <v>0</v>
      </c>
      <c r="V117" s="387">
        <v>0</v>
      </c>
      <c r="W117" s="387">
        <v>0</v>
      </c>
      <c r="X117" s="387">
        <v>0</v>
      </c>
      <c r="Y117" s="387">
        <v>0</v>
      </c>
      <c r="Z117" s="387">
        <v>0</v>
      </c>
      <c r="AA117" s="387">
        <v>0</v>
      </c>
      <c r="AB117" s="387">
        <v>0</v>
      </c>
      <c r="AC117" s="387">
        <v>0</v>
      </c>
      <c r="AD117" s="387">
        <v>0</v>
      </c>
      <c r="AE117" s="387">
        <v>0</v>
      </c>
      <c r="AF117" s="387">
        <v>0</v>
      </c>
      <c r="AG117" s="387">
        <v>0</v>
      </c>
      <c r="AH117" s="387">
        <v>0</v>
      </c>
      <c r="AI117" s="387">
        <v>0</v>
      </c>
      <c r="AJ117" s="387">
        <v>0</v>
      </c>
      <c r="AK117" s="387">
        <v>0</v>
      </c>
      <c r="AL117" s="387">
        <v>0</v>
      </c>
      <c r="AM117" s="387">
        <v>0</v>
      </c>
      <c r="AN117" s="387">
        <v>0</v>
      </c>
      <c r="AO117" s="387">
        <v>0</v>
      </c>
      <c r="AP117" s="387">
        <v>0</v>
      </c>
      <c r="AQ117" s="387">
        <v>0</v>
      </c>
      <c r="AR117" s="387">
        <v>0</v>
      </c>
      <c r="AS117" s="387">
        <v>0</v>
      </c>
      <c r="AT117" s="387">
        <v>0</v>
      </c>
      <c r="AU117" s="387">
        <v>0</v>
      </c>
      <c r="AV117" s="387">
        <v>0</v>
      </c>
      <c r="AW117" s="387">
        <v>0</v>
      </c>
      <c r="AX117" s="387">
        <v>0</v>
      </c>
      <c r="AY117" s="387">
        <v>0</v>
      </c>
      <c r="AZ117" s="387">
        <v>0</v>
      </c>
      <c r="BA117" s="387">
        <v>0</v>
      </c>
      <c r="BB117" s="387">
        <v>0</v>
      </c>
      <c r="BC117" s="387">
        <v>0</v>
      </c>
      <c r="BD117" s="387">
        <v>0</v>
      </c>
      <c r="BE117" s="387">
        <v>0</v>
      </c>
      <c r="BF117" s="387">
        <v>0</v>
      </c>
      <c r="BG117" s="387">
        <v>0</v>
      </c>
      <c r="BH117" s="387">
        <v>0</v>
      </c>
      <c r="BI117" s="387">
        <v>0</v>
      </c>
      <c r="BJ117" s="387">
        <v>0</v>
      </c>
      <c r="BK117" s="387">
        <v>0</v>
      </c>
      <c r="BL117" s="387">
        <v>0</v>
      </c>
      <c r="BM117" s="387">
        <v>0</v>
      </c>
      <c r="BN117" s="387">
        <v>0</v>
      </c>
      <c r="BO117" s="387">
        <v>0</v>
      </c>
      <c r="BP117" s="387">
        <v>0</v>
      </c>
      <c r="BQ117" s="492">
        <v>0</v>
      </c>
      <c r="BR117" s="387">
        <v>0</v>
      </c>
      <c r="BS117" s="387">
        <v>0</v>
      </c>
      <c r="BT117" s="387">
        <v>0</v>
      </c>
      <c r="BU117" s="387">
        <v>76.575246000000007</v>
      </c>
      <c r="BV117" s="387">
        <v>38.287621999999999</v>
      </c>
      <c r="BW117" s="387">
        <v>38.287621999999999</v>
      </c>
      <c r="BX117" s="387">
        <v>38.287621999999999</v>
      </c>
      <c r="BY117" s="387">
        <v>38.287621999999999</v>
      </c>
      <c r="BZ117" s="387">
        <v>76.575243999999998</v>
      </c>
      <c r="CA117" s="387">
        <v>0</v>
      </c>
      <c r="CB117" s="387">
        <v>38.287621999999999</v>
      </c>
      <c r="CC117" s="387">
        <v>0</v>
      </c>
      <c r="CD117" s="387">
        <v>76.575243999999998</v>
      </c>
      <c r="CE117" s="387">
        <v>38.287621999999999</v>
      </c>
      <c r="CF117" s="387">
        <v>0</v>
      </c>
      <c r="CG117" s="387">
        <v>76.575243999999998</v>
      </c>
      <c r="CH117" s="387">
        <v>39.389209000000001</v>
      </c>
      <c r="CI117" s="387">
        <v>0</v>
      </c>
      <c r="CJ117" s="387">
        <v>0</v>
      </c>
      <c r="CK117" s="387">
        <v>0</v>
      </c>
      <c r="CL117" s="393"/>
      <c r="CM117" s="387"/>
      <c r="CN117" s="387">
        <v>0</v>
      </c>
      <c r="CO117" s="601">
        <v>0</v>
      </c>
      <c r="CP117" s="601">
        <v>0</v>
      </c>
      <c r="CQ117" s="387">
        <v>0</v>
      </c>
      <c r="CR117" s="387">
        <v>0</v>
      </c>
      <c r="CS117" s="387">
        <v>0</v>
      </c>
      <c r="CT117" s="387">
        <v>0</v>
      </c>
      <c r="CU117" s="387">
        <v>0</v>
      </c>
      <c r="CV117" s="387">
        <v>39.277819999999998</v>
      </c>
      <c r="CW117" s="387"/>
      <c r="CX117" s="387">
        <v>0</v>
      </c>
      <c r="CY117" s="387">
        <v>0</v>
      </c>
      <c r="CZ117" s="387">
        <v>0</v>
      </c>
      <c r="DA117" s="387">
        <v>0</v>
      </c>
      <c r="DB117" s="387">
        <v>0</v>
      </c>
      <c r="DC117" s="387">
        <v>0</v>
      </c>
      <c r="DD117" s="387">
        <v>0</v>
      </c>
      <c r="DE117" s="387">
        <v>55.339661</v>
      </c>
      <c r="DF117" s="387">
        <v>0</v>
      </c>
      <c r="DG117" s="387">
        <v>0</v>
      </c>
      <c r="DH117" s="387">
        <v>0</v>
      </c>
      <c r="DI117" s="387">
        <v>0</v>
      </c>
      <c r="DJ117" s="387">
        <v>0</v>
      </c>
      <c r="DK117" s="387"/>
      <c r="DL117" s="387"/>
      <c r="DM117" s="387"/>
      <c r="DN117" s="387"/>
      <c r="DO117" s="387"/>
      <c r="DP117" s="387"/>
      <c r="DQ117" s="387"/>
      <c r="DR117" s="387"/>
      <c r="DS117" s="387"/>
      <c r="DT117" s="387"/>
      <c r="DU117" s="387"/>
      <c r="DV117" s="387"/>
      <c r="DW117" s="545">
        <f t="shared" si="17"/>
        <v>670.03340000000003</v>
      </c>
      <c r="DX117" s="858"/>
      <c r="DY117" s="706"/>
      <c r="DZ117" s="1040"/>
      <c r="EA117" s="873"/>
      <c r="EB117" s="859"/>
      <c r="EC117" s="859"/>
      <c r="ED117" s="859"/>
      <c r="EE117" s="859"/>
      <c r="EF117" s="861"/>
      <c r="EG117" s="1107"/>
      <c r="EI117" s="858"/>
      <c r="EJ117" s="877"/>
      <c r="ER117" s="497"/>
    </row>
    <row r="118" spans="1:148" s="278" customFormat="1" ht="24" outlineLevel="2" x14ac:dyDescent="0.2">
      <c r="A118" s="970" t="s">
        <v>563</v>
      </c>
      <c r="B118" s="973" t="s">
        <v>328</v>
      </c>
      <c r="C118" s="979">
        <v>6</v>
      </c>
      <c r="D118" s="1021">
        <f>+IFERROR(VLOOKUP(B118,'Detalle Plan de Adquisiciones'!$G$6:$M$66,7,FALSE),0)</f>
        <v>4162509254</v>
      </c>
      <c r="E118" s="866" t="str">
        <f>+'Detalle Plan de Adquisiciones'!F29</f>
        <v>CONSTRUCCIÓN DE PAVIMENTO RÍGIDO, ANDENES Y ESPACIO PUBLICO DE LA CALLE 30 ENTRE CARRERA 1 Y CARRERA 10, ID (202-211). PERTENECIENTE AL SISTEMA ESTRATÉGICO DE TRANSPORTE PUBLICO "SETP" DE LA CIUDAD DE MONTERÍA</v>
      </c>
      <c r="F118" s="312" t="s">
        <v>410</v>
      </c>
      <c r="G118" s="354">
        <v>0</v>
      </c>
      <c r="H118" s="354">
        <v>0</v>
      </c>
      <c r="I118" s="354">
        <v>0</v>
      </c>
      <c r="J118" s="354">
        <v>0</v>
      </c>
      <c r="K118" s="354">
        <v>0</v>
      </c>
      <c r="L118" s="354">
        <v>0</v>
      </c>
      <c r="M118" s="354">
        <v>0</v>
      </c>
      <c r="N118" s="354">
        <v>0</v>
      </c>
      <c r="O118" s="354">
        <v>0</v>
      </c>
      <c r="P118" s="354">
        <v>0</v>
      </c>
      <c r="Q118" s="354">
        <v>0</v>
      </c>
      <c r="R118" s="354">
        <v>0</v>
      </c>
      <c r="S118" s="354">
        <v>0</v>
      </c>
      <c r="T118" s="354">
        <v>0</v>
      </c>
      <c r="U118" s="354">
        <v>0</v>
      </c>
      <c r="V118" s="354">
        <v>0</v>
      </c>
      <c r="W118" s="354">
        <v>0</v>
      </c>
      <c r="X118" s="354">
        <v>0</v>
      </c>
      <c r="Y118" s="354">
        <v>0</v>
      </c>
      <c r="Z118" s="354">
        <v>0</v>
      </c>
      <c r="AA118" s="354">
        <v>0</v>
      </c>
      <c r="AB118" s="354">
        <v>0</v>
      </c>
      <c r="AC118" s="354">
        <v>0</v>
      </c>
      <c r="AD118" s="354">
        <v>0</v>
      </c>
      <c r="AE118" s="354">
        <v>0</v>
      </c>
      <c r="AF118" s="354">
        <v>0</v>
      </c>
      <c r="AG118" s="354">
        <v>0</v>
      </c>
      <c r="AH118" s="354">
        <v>0</v>
      </c>
      <c r="AI118" s="354">
        <v>0</v>
      </c>
      <c r="AJ118" s="354">
        <v>0</v>
      </c>
      <c r="AK118" s="354">
        <v>0</v>
      </c>
      <c r="AL118" s="354">
        <v>0</v>
      </c>
      <c r="AM118" s="354">
        <v>0</v>
      </c>
      <c r="AN118" s="354">
        <v>0</v>
      </c>
      <c r="AO118" s="354">
        <v>0</v>
      </c>
      <c r="AP118" s="354">
        <v>0</v>
      </c>
      <c r="AQ118" s="354">
        <v>0</v>
      </c>
      <c r="AR118" s="354">
        <v>0</v>
      </c>
      <c r="AS118" s="354">
        <v>0</v>
      </c>
      <c r="AT118" s="354">
        <v>0</v>
      </c>
      <c r="AU118" s="354">
        <v>0</v>
      </c>
      <c r="AV118" s="354">
        <v>0</v>
      </c>
      <c r="AW118" s="354">
        <v>0</v>
      </c>
      <c r="AX118" s="354">
        <v>0</v>
      </c>
      <c r="AY118" s="354">
        <v>0</v>
      </c>
      <c r="AZ118" s="354">
        <v>0</v>
      </c>
      <c r="BA118" s="354">
        <v>0</v>
      </c>
      <c r="BB118" s="354">
        <v>0</v>
      </c>
      <c r="BC118" s="354">
        <v>0</v>
      </c>
      <c r="BD118" s="354">
        <v>0</v>
      </c>
      <c r="BE118" s="354">
        <v>0</v>
      </c>
      <c r="BF118" s="354">
        <v>0</v>
      </c>
      <c r="BG118" s="354">
        <v>0</v>
      </c>
      <c r="BH118" s="354">
        <v>0</v>
      </c>
      <c r="BI118" s="354">
        <v>0</v>
      </c>
      <c r="BJ118" s="354">
        <v>0</v>
      </c>
      <c r="BK118" s="354">
        <v>0</v>
      </c>
      <c r="BL118" s="354">
        <v>0</v>
      </c>
      <c r="BM118" s="354">
        <v>0</v>
      </c>
      <c r="BN118" s="354">
        <v>0</v>
      </c>
      <c r="BO118" s="354">
        <v>0</v>
      </c>
      <c r="BP118" s="354">
        <v>0</v>
      </c>
      <c r="BQ118" s="354">
        <v>0</v>
      </c>
      <c r="BR118" s="354">
        <v>0</v>
      </c>
      <c r="BS118" s="354">
        <v>0</v>
      </c>
      <c r="BT118" s="354">
        <v>0</v>
      </c>
      <c r="BU118" s="354">
        <v>0</v>
      </c>
      <c r="BV118" s="354">
        <v>0</v>
      </c>
      <c r="BW118" s="354">
        <v>0</v>
      </c>
      <c r="BX118" s="354">
        <v>0</v>
      </c>
      <c r="BY118" s="354">
        <v>0</v>
      </c>
      <c r="BZ118" s="354">
        <v>0</v>
      </c>
      <c r="CA118" s="354">
        <v>0</v>
      </c>
      <c r="CB118" s="354">
        <v>0</v>
      </c>
      <c r="CC118" s="354">
        <v>0</v>
      </c>
      <c r="CD118" s="354">
        <v>0</v>
      </c>
      <c r="CE118" s="354">
        <v>0</v>
      </c>
      <c r="CF118" s="354">
        <v>0</v>
      </c>
      <c r="CG118" s="354">
        <v>0</v>
      </c>
      <c r="CH118" s="354">
        <v>0</v>
      </c>
      <c r="CI118" s="354">
        <v>416.250925</v>
      </c>
      <c r="CJ118" s="354">
        <v>793.67573900000002</v>
      </c>
      <c r="CK118" s="354">
        <v>0</v>
      </c>
      <c r="CL118" s="354">
        <v>0</v>
      </c>
      <c r="CM118" s="354">
        <v>0</v>
      </c>
      <c r="CN118" s="354">
        <v>858.21370899999999</v>
      </c>
      <c r="CO118" s="567">
        <v>0</v>
      </c>
      <c r="CP118" s="567">
        <v>0</v>
      </c>
      <c r="CQ118" s="354">
        <v>0</v>
      </c>
      <c r="CR118" s="354">
        <v>0</v>
      </c>
      <c r="CS118" s="354">
        <v>2094.368868</v>
      </c>
      <c r="CT118" s="354">
        <v>0</v>
      </c>
      <c r="CU118" s="354">
        <v>0</v>
      </c>
      <c r="CV118" s="354">
        <v>0</v>
      </c>
      <c r="CW118" s="354">
        <v>0</v>
      </c>
      <c r="CX118" s="354">
        <v>0</v>
      </c>
      <c r="CY118" s="354">
        <v>0</v>
      </c>
      <c r="CZ118" s="354">
        <v>0</v>
      </c>
      <c r="DA118" s="354">
        <v>0</v>
      </c>
      <c r="DB118" s="354">
        <v>0</v>
      </c>
      <c r="DC118" s="354">
        <v>0</v>
      </c>
      <c r="DD118" s="354">
        <v>0</v>
      </c>
      <c r="DE118" s="354">
        <v>0</v>
      </c>
      <c r="DF118" s="354">
        <v>0</v>
      </c>
      <c r="DG118" s="354">
        <v>0</v>
      </c>
      <c r="DH118" s="354">
        <v>0</v>
      </c>
      <c r="DI118" s="354">
        <v>0</v>
      </c>
      <c r="DJ118" s="354">
        <v>0</v>
      </c>
      <c r="DK118" s="354">
        <v>0</v>
      </c>
      <c r="DL118" s="354">
        <v>0</v>
      </c>
      <c r="DM118" s="354">
        <v>0</v>
      </c>
      <c r="DN118" s="354">
        <v>0</v>
      </c>
      <c r="DO118" s="354">
        <v>0</v>
      </c>
      <c r="DP118" s="354">
        <v>0</v>
      </c>
      <c r="DQ118" s="354">
        <v>0</v>
      </c>
      <c r="DR118" s="354">
        <v>0</v>
      </c>
      <c r="DS118" s="354">
        <v>0</v>
      </c>
      <c r="DT118" s="354">
        <v>0</v>
      </c>
      <c r="DU118" s="354">
        <v>0</v>
      </c>
      <c r="DV118" s="354">
        <v>0</v>
      </c>
      <c r="DW118" s="543">
        <f t="shared" si="17"/>
        <v>4162.5092409999997</v>
      </c>
      <c r="DX118" s="858">
        <f>DW118+DW119+DW120</f>
        <v>4162.5092409999997</v>
      </c>
      <c r="DY118" s="704">
        <f>+DX118*1000000</f>
        <v>4162509240.9999995</v>
      </c>
      <c r="DZ118" s="870">
        <f>+DY118-D118</f>
        <v>-13.000000476837158</v>
      </c>
      <c r="EA118" s="873">
        <f>VLOOKUP(POA!$B118,'Detalle Plan de Adquisiciones'!$G$6:$AF$66,23,0)</f>
        <v>42526</v>
      </c>
      <c r="EB118" s="859">
        <f>VLOOKUP(POA!$B118,'Detalle Plan de Adquisiciones'!$G$6:$AF$66,25,0)</f>
        <v>42709</v>
      </c>
      <c r="EC118" s="859">
        <f>EB118+30</f>
        <v>42739</v>
      </c>
      <c r="ED118" s="859" t="str">
        <f>CONCATENATE(MONTH(EA118),"-",YEAR(EA118))</f>
        <v>6-2016</v>
      </c>
      <c r="EE118" s="859" t="str">
        <f>CONCATENATE(MONTH(EB118),"-",YEAR(EB118))</f>
        <v>12-2016</v>
      </c>
      <c r="EF118" s="861" t="str">
        <f>CONCATENATE(MONTH(EC118),"-",YEAR(EC118))</f>
        <v>1-2017</v>
      </c>
      <c r="EG118" s="1105">
        <f>+YEAR(EA118)</f>
        <v>2016</v>
      </c>
      <c r="EH118" s="393">
        <f>+DY118</f>
        <v>4162509240.9999995</v>
      </c>
      <c r="EI118" s="858">
        <f>+DW118+DW119+DW120</f>
        <v>4162.5092409999997</v>
      </c>
      <c r="EJ118" s="877">
        <f>+D118/1000000-EI118</f>
        <v>1.2999999853491317E-5</v>
      </c>
      <c r="EM118" s="555"/>
      <c r="ER118" s="497"/>
    </row>
    <row r="119" spans="1:148" s="278" customFormat="1" outlineLevel="2" x14ac:dyDescent="0.2">
      <c r="A119" s="971"/>
      <c r="B119" s="974"/>
      <c r="C119" s="980"/>
      <c r="D119" s="1022"/>
      <c r="E119" s="867"/>
      <c r="F119" s="311" t="s">
        <v>210</v>
      </c>
      <c r="G119" s="363">
        <v>0</v>
      </c>
      <c r="H119" s="363">
        <v>0</v>
      </c>
      <c r="I119" s="363">
        <v>0</v>
      </c>
      <c r="J119" s="363">
        <v>0</v>
      </c>
      <c r="K119" s="363">
        <v>0</v>
      </c>
      <c r="L119" s="363">
        <v>0</v>
      </c>
      <c r="M119" s="363">
        <v>0</v>
      </c>
      <c r="N119" s="363">
        <v>0</v>
      </c>
      <c r="O119" s="363">
        <v>0</v>
      </c>
      <c r="P119" s="363">
        <v>0</v>
      </c>
      <c r="Q119" s="363">
        <v>0</v>
      </c>
      <c r="R119" s="363">
        <v>0</v>
      </c>
      <c r="S119" s="363">
        <v>0</v>
      </c>
      <c r="T119" s="363">
        <v>0</v>
      </c>
      <c r="U119" s="363">
        <v>0</v>
      </c>
      <c r="V119" s="363">
        <v>0</v>
      </c>
      <c r="W119" s="363">
        <v>0</v>
      </c>
      <c r="X119" s="363">
        <v>0</v>
      </c>
      <c r="Y119" s="363">
        <v>0</v>
      </c>
      <c r="Z119" s="363">
        <v>0</v>
      </c>
      <c r="AA119" s="363">
        <v>0</v>
      </c>
      <c r="AB119" s="363">
        <v>0</v>
      </c>
      <c r="AC119" s="363">
        <v>0</v>
      </c>
      <c r="AD119" s="363">
        <v>0</v>
      </c>
      <c r="AE119" s="363">
        <v>0</v>
      </c>
      <c r="AF119" s="363">
        <v>0</v>
      </c>
      <c r="AG119" s="363">
        <v>0</v>
      </c>
      <c r="AH119" s="363">
        <v>0</v>
      </c>
      <c r="AI119" s="363">
        <v>0</v>
      </c>
      <c r="AJ119" s="363">
        <v>0</v>
      </c>
      <c r="AK119" s="363">
        <v>0</v>
      </c>
      <c r="AL119" s="363">
        <v>0</v>
      </c>
      <c r="AM119" s="363">
        <v>0</v>
      </c>
      <c r="AN119" s="363">
        <v>0</v>
      </c>
      <c r="AO119" s="363">
        <v>0</v>
      </c>
      <c r="AP119" s="363">
        <v>0</v>
      </c>
      <c r="AQ119" s="363">
        <v>0</v>
      </c>
      <c r="AR119" s="363">
        <v>0</v>
      </c>
      <c r="AS119" s="363">
        <v>0</v>
      </c>
      <c r="AT119" s="363">
        <v>0</v>
      </c>
      <c r="AU119" s="363">
        <v>0</v>
      </c>
      <c r="AV119" s="363">
        <v>0</v>
      </c>
      <c r="AW119" s="363">
        <v>0</v>
      </c>
      <c r="AX119" s="363">
        <v>0</v>
      </c>
      <c r="AY119" s="363">
        <v>0</v>
      </c>
      <c r="AZ119" s="363">
        <v>0</v>
      </c>
      <c r="BA119" s="363">
        <v>0</v>
      </c>
      <c r="BB119" s="363">
        <v>0</v>
      </c>
      <c r="BC119" s="363">
        <v>0</v>
      </c>
      <c r="BD119" s="363">
        <v>0</v>
      </c>
      <c r="BE119" s="363">
        <v>0</v>
      </c>
      <c r="BF119" s="363">
        <v>0</v>
      </c>
      <c r="BG119" s="363">
        <v>0</v>
      </c>
      <c r="BH119" s="363">
        <v>0</v>
      </c>
      <c r="BI119" s="363">
        <v>0</v>
      </c>
      <c r="BJ119" s="363">
        <v>0</v>
      </c>
      <c r="BK119" s="363">
        <v>0</v>
      </c>
      <c r="BL119" s="363">
        <v>0</v>
      </c>
      <c r="BM119" s="363">
        <v>0</v>
      </c>
      <c r="BN119" s="363">
        <v>0</v>
      </c>
      <c r="BO119" s="363">
        <v>0</v>
      </c>
      <c r="BP119" s="363">
        <v>0</v>
      </c>
      <c r="BQ119" s="363">
        <v>0</v>
      </c>
      <c r="BR119" s="363">
        <v>0</v>
      </c>
      <c r="BS119" s="363">
        <v>0</v>
      </c>
      <c r="BT119" s="363">
        <v>0</v>
      </c>
      <c r="BU119" s="363">
        <v>0</v>
      </c>
      <c r="BV119" s="363">
        <v>0</v>
      </c>
      <c r="BW119" s="363">
        <v>0</v>
      </c>
      <c r="BX119" s="363">
        <v>0</v>
      </c>
      <c r="BY119" s="363">
        <v>0</v>
      </c>
      <c r="BZ119" s="363">
        <v>0</v>
      </c>
      <c r="CA119" s="363">
        <v>0</v>
      </c>
      <c r="CB119" s="363">
        <v>0</v>
      </c>
      <c r="CC119" s="363">
        <v>0</v>
      </c>
      <c r="CD119" s="363">
        <v>0</v>
      </c>
      <c r="CE119" s="363">
        <v>0</v>
      </c>
      <c r="CF119" s="363">
        <v>0</v>
      </c>
      <c r="CG119" s="363">
        <v>0</v>
      </c>
      <c r="CH119" s="363">
        <v>0</v>
      </c>
      <c r="CI119" s="363">
        <v>0</v>
      </c>
      <c r="CJ119" s="363">
        <v>0</v>
      </c>
      <c r="CK119" s="363">
        <v>0</v>
      </c>
      <c r="CL119" s="363">
        <v>0</v>
      </c>
      <c r="CM119" s="363">
        <v>0</v>
      </c>
      <c r="CN119" s="363">
        <v>0</v>
      </c>
      <c r="CO119" s="363">
        <v>0</v>
      </c>
      <c r="CP119" s="363">
        <v>0</v>
      </c>
      <c r="CQ119" s="363">
        <v>0</v>
      </c>
      <c r="CR119" s="363">
        <v>0</v>
      </c>
      <c r="CS119" s="363"/>
      <c r="CT119" s="363">
        <v>0</v>
      </c>
      <c r="CU119" s="363">
        <v>0</v>
      </c>
      <c r="CV119" s="363">
        <v>0</v>
      </c>
      <c r="CW119" s="363">
        <v>0</v>
      </c>
      <c r="CX119" s="363">
        <v>0</v>
      </c>
      <c r="CY119" s="363">
        <v>0</v>
      </c>
      <c r="CZ119" s="363">
        <v>0</v>
      </c>
      <c r="DA119" s="363">
        <v>0</v>
      </c>
      <c r="DB119" s="363">
        <v>0</v>
      </c>
      <c r="DC119" s="363">
        <v>0</v>
      </c>
      <c r="DD119" s="363">
        <v>0</v>
      </c>
      <c r="DE119" s="363">
        <v>0</v>
      </c>
      <c r="DF119" s="363">
        <v>0</v>
      </c>
      <c r="DG119" s="363">
        <v>0</v>
      </c>
      <c r="DH119" s="363">
        <v>0</v>
      </c>
      <c r="DI119" s="363">
        <v>0</v>
      </c>
      <c r="DJ119" s="363">
        <v>0</v>
      </c>
      <c r="DK119" s="363">
        <v>0</v>
      </c>
      <c r="DL119" s="363">
        <v>0</v>
      </c>
      <c r="DM119" s="363">
        <v>0</v>
      </c>
      <c r="DN119" s="363">
        <v>0</v>
      </c>
      <c r="DO119" s="363">
        <v>0</v>
      </c>
      <c r="DP119" s="363">
        <v>0</v>
      </c>
      <c r="DQ119" s="363">
        <v>0</v>
      </c>
      <c r="DR119" s="363">
        <v>0</v>
      </c>
      <c r="DS119" s="363">
        <v>0</v>
      </c>
      <c r="DT119" s="363">
        <v>0</v>
      </c>
      <c r="DU119" s="363">
        <v>0</v>
      </c>
      <c r="DV119" s="363">
        <v>0</v>
      </c>
      <c r="DW119" s="544">
        <f t="shared" si="17"/>
        <v>0</v>
      </c>
      <c r="DX119" s="858"/>
      <c r="DY119" s="705"/>
      <c r="DZ119" s="871"/>
      <c r="EA119" s="873"/>
      <c r="EB119" s="859"/>
      <c r="EC119" s="859"/>
      <c r="ED119" s="859"/>
      <c r="EE119" s="859"/>
      <c r="EF119" s="861"/>
      <c r="EG119" s="1106"/>
      <c r="EI119" s="858"/>
      <c r="EJ119" s="877"/>
      <c r="ER119" s="497"/>
    </row>
    <row r="120" spans="1:148" s="278" customFormat="1" ht="33.75" customHeight="1" outlineLevel="2" thickBot="1" x14ac:dyDescent="0.25">
      <c r="A120" s="972"/>
      <c r="B120" s="975"/>
      <c r="C120" s="1029"/>
      <c r="D120" s="1023"/>
      <c r="E120" s="868"/>
      <c r="F120" s="315" t="s">
        <v>211</v>
      </c>
      <c r="G120" s="364">
        <v>0</v>
      </c>
      <c r="H120" s="364">
        <v>0</v>
      </c>
      <c r="I120" s="364">
        <v>0</v>
      </c>
      <c r="J120" s="364">
        <v>0</v>
      </c>
      <c r="K120" s="364">
        <v>0</v>
      </c>
      <c r="L120" s="364">
        <v>0</v>
      </c>
      <c r="M120" s="364">
        <v>0</v>
      </c>
      <c r="N120" s="364">
        <v>0</v>
      </c>
      <c r="O120" s="364">
        <v>0</v>
      </c>
      <c r="P120" s="364">
        <v>0</v>
      </c>
      <c r="Q120" s="364">
        <v>0</v>
      </c>
      <c r="R120" s="364">
        <v>0</v>
      </c>
      <c r="S120" s="364">
        <v>0</v>
      </c>
      <c r="T120" s="364">
        <v>0</v>
      </c>
      <c r="U120" s="364">
        <v>0</v>
      </c>
      <c r="V120" s="364">
        <v>0</v>
      </c>
      <c r="W120" s="364">
        <v>0</v>
      </c>
      <c r="X120" s="364">
        <v>0</v>
      </c>
      <c r="Y120" s="364">
        <v>0</v>
      </c>
      <c r="Z120" s="364">
        <v>0</v>
      </c>
      <c r="AA120" s="364">
        <v>0</v>
      </c>
      <c r="AB120" s="364">
        <v>0</v>
      </c>
      <c r="AC120" s="364">
        <v>0</v>
      </c>
      <c r="AD120" s="364">
        <v>0</v>
      </c>
      <c r="AE120" s="364">
        <v>0</v>
      </c>
      <c r="AF120" s="364">
        <v>0</v>
      </c>
      <c r="AG120" s="364">
        <v>0</v>
      </c>
      <c r="AH120" s="364">
        <v>0</v>
      </c>
      <c r="AI120" s="364">
        <v>0</v>
      </c>
      <c r="AJ120" s="364">
        <v>0</v>
      </c>
      <c r="AK120" s="364">
        <v>0</v>
      </c>
      <c r="AL120" s="364">
        <v>0</v>
      </c>
      <c r="AM120" s="364">
        <v>0</v>
      </c>
      <c r="AN120" s="364">
        <v>0</v>
      </c>
      <c r="AO120" s="364">
        <v>0</v>
      </c>
      <c r="AP120" s="364">
        <v>0</v>
      </c>
      <c r="AQ120" s="364">
        <v>0</v>
      </c>
      <c r="AR120" s="364">
        <v>0</v>
      </c>
      <c r="AS120" s="364">
        <v>0</v>
      </c>
      <c r="AT120" s="364">
        <v>0</v>
      </c>
      <c r="AU120" s="364">
        <v>0</v>
      </c>
      <c r="AV120" s="364">
        <v>0</v>
      </c>
      <c r="AW120" s="364">
        <v>0</v>
      </c>
      <c r="AX120" s="364">
        <v>0</v>
      </c>
      <c r="AY120" s="364">
        <v>0</v>
      </c>
      <c r="AZ120" s="364">
        <v>0</v>
      </c>
      <c r="BA120" s="364">
        <v>0</v>
      </c>
      <c r="BB120" s="364">
        <v>0</v>
      </c>
      <c r="BC120" s="364">
        <v>0</v>
      </c>
      <c r="BD120" s="364">
        <v>0</v>
      </c>
      <c r="BE120" s="364">
        <v>0</v>
      </c>
      <c r="BF120" s="364">
        <v>0</v>
      </c>
      <c r="BG120" s="364">
        <v>0</v>
      </c>
      <c r="BH120" s="364">
        <v>0</v>
      </c>
      <c r="BI120" s="364">
        <v>0</v>
      </c>
      <c r="BJ120" s="364">
        <v>0</v>
      </c>
      <c r="BK120" s="364">
        <v>0</v>
      </c>
      <c r="BL120" s="364">
        <v>0</v>
      </c>
      <c r="BM120" s="364">
        <v>0</v>
      </c>
      <c r="BN120" s="364">
        <v>0</v>
      </c>
      <c r="BO120" s="364">
        <v>0</v>
      </c>
      <c r="BP120" s="364">
        <v>0</v>
      </c>
      <c r="BQ120" s="364">
        <v>0</v>
      </c>
      <c r="BR120" s="364">
        <v>0</v>
      </c>
      <c r="BS120" s="364">
        <v>0</v>
      </c>
      <c r="BT120" s="364">
        <v>0</v>
      </c>
      <c r="BU120" s="364">
        <v>0</v>
      </c>
      <c r="BV120" s="364">
        <v>0</v>
      </c>
      <c r="BW120" s="364">
        <v>0</v>
      </c>
      <c r="BX120" s="364">
        <v>0</v>
      </c>
      <c r="BY120" s="364">
        <v>0</v>
      </c>
      <c r="BZ120" s="364">
        <v>0</v>
      </c>
      <c r="CA120" s="364">
        <v>0</v>
      </c>
      <c r="CB120" s="364">
        <v>0</v>
      </c>
      <c r="CC120" s="364">
        <v>0</v>
      </c>
      <c r="CD120" s="364">
        <v>0</v>
      </c>
      <c r="CE120" s="364">
        <v>0</v>
      </c>
      <c r="CF120" s="364">
        <v>0</v>
      </c>
      <c r="CG120" s="364">
        <v>0</v>
      </c>
      <c r="CH120" s="364">
        <v>0</v>
      </c>
      <c r="CI120" s="364"/>
      <c r="CJ120" s="364">
        <v>0</v>
      </c>
      <c r="CK120" s="364">
        <v>0</v>
      </c>
      <c r="CL120" s="364">
        <v>0</v>
      </c>
      <c r="CM120" s="364">
        <v>0</v>
      </c>
      <c r="CN120" s="364">
        <v>0</v>
      </c>
      <c r="CO120" s="364">
        <v>0</v>
      </c>
      <c r="CP120" s="364">
        <v>0</v>
      </c>
      <c r="CQ120" s="364">
        <v>0</v>
      </c>
      <c r="CR120" s="364">
        <v>0</v>
      </c>
      <c r="CS120" s="364">
        <v>0</v>
      </c>
      <c r="CT120" s="364">
        <v>0</v>
      </c>
      <c r="CU120" s="364">
        <v>0</v>
      </c>
      <c r="CV120" s="364">
        <v>0</v>
      </c>
      <c r="CW120" s="364">
        <v>0</v>
      </c>
      <c r="CX120" s="364">
        <v>0</v>
      </c>
      <c r="CY120" s="364">
        <v>0</v>
      </c>
      <c r="CZ120" s="364">
        <v>0</v>
      </c>
      <c r="DA120" s="364">
        <v>0</v>
      </c>
      <c r="DB120" s="364">
        <v>0</v>
      </c>
      <c r="DC120" s="364">
        <v>0</v>
      </c>
      <c r="DD120" s="364">
        <v>0</v>
      </c>
      <c r="DE120" s="364">
        <v>0</v>
      </c>
      <c r="DF120" s="364">
        <v>0</v>
      </c>
      <c r="DG120" s="364">
        <v>0</v>
      </c>
      <c r="DH120" s="364">
        <v>0</v>
      </c>
      <c r="DI120" s="364">
        <v>0</v>
      </c>
      <c r="DJ120" s="364">
        <v>0</v>
      </c>
      <c r="DK120" s="364">
        <v>0</v>
      </c>
      <c r="DL120" s="364">
        <v>0</v>
      </c>
      <c r="DM120" s="364">
        <v>0</v>
      </c>
      <c r="DN120" s="364">
        <v>0</v>
      </c>
      <c r="DO120" s="364">
        <v>0</v>
      </c>
      <c r="DP120" s="364">
        <v>0</v>
      </c>
      <c r="DQ120" s="364">
        <v>0</v>
      </c>
      <c r="DR120" s="364">
        <v>0</v>
      </c>
      <c r="DS120" s="364">
        <v>0</v>
      </c>
      <c r="DT120" s="364">
        <v>0</v>
      </c>
      <c r="DU120" s="364">
        <v>0</v>
      </c>
      <c r="DV120" s="364">
        <v>0</v>
      </c>
      <c r="DW120" s="649">
        <f t="shared" si="17"/>
        <v>0</v>
      </c>
      <c r="DX120" s="858"/>
      <c r="DY120" s="706"/>
      <c r="DZ120" s="872"/>
      <c r="EA120" s="873"/>
      <c r="EB120" s="859"/>
      <c r="EC120" s="859"/>
      <c r="ED120" s="859"/>
      <c r="EE120" s="859"/>
      <c r="EF120" s="861"/>
      <c r="EG120" s="1107"/>
      <c r="EI120" s="858"/>
      <c r="EJ120" s="877"/>
      <c r="ER120" s="497"/>
    </row>
    <row r="121" spans="1:148" s="278" customFormat="1" ht="24" outlineLevel="2" x14ac:dyDescent="0.2">
      <c r="A121" s="970" t="s">
        <v>564</v>
      </c>
      <c r="B121" s="973" t="s">
        <v>328</v>
      </c>
      <c r="C121" s="979">
        <v>7</v>
      </c>
      <c r="D121" s="1021">
        <f>+IFERROR(VLOOKUP(B121,'Detalle Plan de Adquisiciones'!$G$53:$L$153,6,FALSE),0)</f>
        <v>353875400</v>
      </c>
      <c r="E121" s="866" t="str">
        <f>+'Detalle Plan de Adquisiciones'!F114</f>
        <v>INTERVENTORÍA TÉCNICA, ADMINISTRATIVA, FINANCIERA Y AMBIENTAL AL CONTRATO CUYO OBJETO ES: CONSTRUCCIÓN DE PAVIMENTO RÍGIDO, ANDENES Y ESPACIO PUBLICO DE LA CALLE 30 ENTRE CARRERA 1 Y CARRERA 10, ID (202-211). PERTENECIENTE AL SISTEMA ESTRATÉGICO DE TRANSPORTE PUBLICO "SETP" DE LA CIUDAD DE MONTERÍA</v>
      </c>
      <c r="F121" s="312" t="s">
        <v>410</v>
      </c>
      <c r="G121" s="354">
        <v>0</v>
      </c>
      <c r="H121" s="354">
        <v>0</v>
      </c>
      <c r="I121" s="354">
        <v>0</v>
      </c>
      <c r="J121" s="354">
        <v>0</v>
      </c>
      <c r="K121" s="354">
        <v>0</v>
      </c>
      <c r="L121" s="354">
        <v>0</v>
      </c>
      <c r="M121" s="354">
        <v>0</v>
      </c>
      <c r="N121" s="354">
        <v>0</v>
      </c>
      <c r="O121" s="354">
        <v>0</v>
      </c>
      <c r="P121" s="354">
        <v>0</v>
      </c>
      <c r="Q121" s="354">
        <v>0</v>
      </c>
      <c r="R121" s="354">
        <v>0</v>
      </c>
      <c r="S121" s="354">
        <v>0</v>
      </c>
      <c r="T121" s="354">
        <v>0</v>
      </c>
      <c r="U121" s="354">
        <v>0</v>
      </c>
      <c r="V121" s="354">
        <v>0</v>
      </c>
      <c r="W121" s="354">
        <v>0</v>
      </c>
      <c r="X121" s="354">
        <v>0</v>
      </c>
      <c r="Y121" s="354">
        <v>0</v>
      </c>
      <c r="Z121" s="354">
        <v>0</v>
      </c>
      <c r="AA121" s="354">
        <v>0</v>
      </c>
      <c r="AB121" s="354">
        <v>0</v>
      </c>
      <c r="AC121" s="354">
        <v>0</v>
      </c>
      <c r="AD121" s="354">
        <v>0</v>
      </c>
      <c r="AE121" s="354">
        <v>0</v>
      </c>
      <c r="AF121" s="354">
        <v>0</v>
      </c>
      <c r="AG121" s="354">
        <v>0</v>
      </c>
      <c r="AH121" s="354">
        <v>0</v>
      </c>
      <c r="AI121" s="354">
        <v>0</v>
      </c>
      <c r="AJ121" s="354">
        <v>0</v>
      </c>
      <c r="AK121" s="354">
        <v>0</v>
      </c>
      <c r="AL121" s="354">
        <v>0</v>
      </c>
      <c r="AM121" s="354">
        <v>0</v>
      </c>
      <c r="AN121" s="354">
        <v>0</v>
      </c>
      <c r="AO121" s="354">
        <v>0</v>
      </c>
      <c r="AP121" s="354">
        <v>0</v>
      </c>
      <c r="AQ121" s="354">
        <v>0</v>
      </c>
      <c r="AR121" s="354">
        <v>0</v>
      </c>
      <c r="AS121" s="354">
        <v>0</v>
      </c>
      <c r="AT121" s="354">
        <v>0</v>
      </c>
      <c r="AU121" s="354">
        <v>0</v>
      </c>
      <c r="AV121" s="354">
        <v>0</v>
      </c>
      <c r="AW121" s="354">
        <v>0</v>
      </c>
      <c r="AX121" s="354">
        <v>0</v>
      </c>
      <c r="AY121" s="354">
        <v>0</v>
      </c>
      <c r="AZ121" s="354">
        <v>0</v>
      </c>
      <c r="BA121" s="354">
        <v>0</v>
      </c>
      <c r="BB121" s="354">
        <v>0</v>
      </c>
      <c r="BC121" s="354">
        <v>0</v>
      </c>
      <c r="BD121" s="354">
        <v>0</v>
      </c>
      <c r="BE121" s="354">
        <v>0</v>
      </c>
      <c r="BF121" s="354">
        <v>0</v>
      </c>
      <c r="BG121" s="354">
        <v>0</v>
      </c>
      <c r="BH121" s="354">
        <v>0</v>
      </c>
      <c r="BI121" s="354">
        <v>0</v>
      </c>
      <c r="BJ121" s="354">
        <v>0</v>
      </c>
      <c r="BK121" s="354">
        <v>0</v>
      </c>
      <c r="BL121" s="354">
        <v>0</v>
      </c>
      <c r="BM121" s="354">
        <v>0</v>
      </c>
      <c r="BN121" s="354">
        <v>0</v>
      </c>
      <c r="BO121" s="354">
        <v>0</v>
      </c>
      <c r="BP121" s="354">
        <v>0</v>
      </c>
      <c r="BQ121" s="354">
        <v>0</v>
      </c>
      <c r="BR121" s="354">
        <v>0</v>
      </c>
      <c r="BS121" s="354">
        <v>0</v>
      </c>
      <c r="BT121" s="354">
        <v>0</v>
      </c>
      <c r="BU121" s="354">
        <v>0</v>
      </c>
      <c r="BV121" s="354">
        <v>0</v>
      </c>
      <c r="BW121" s="354">
        <v>0</v>
      </c>
      <c r="BX121" s="354">
        <v>0</v>
      </c>
      <c r="BY121" s="354">
        <v>0</v>
      </c>
      <c r="BZ121" s="354">
        <v>0</v>
      </c>
      <c r="CA121" s="560">
        <v>0</v>
      </c>
      <c r="CB121" s="560">
        <v>0</v>
      </c>
      <c r="CC121" s="560">
        <v>0</v>
      </c>
      <c r="CD121" s="354">
        <v>0</v>
      </c>
      <c r="CE121" s="354">
        <v>0</v>
      </c>
      <c r="CF121" s="354">
        <v>0</v>
      </c>
      <c r="CG121" s="354">
        <v>0</v>
      </c>
      <c r="CH121" s="354">
        <v>33.30592</v>
      </c>
      <c r="CI121" s="354">
        <v>33.30592</v>
      </c>
      <c r="CJ121" s="354">
        <v>33.30592</v>
      </c>
      <c r="CK121" s="354">
        <v>33.30592</v>
      </c>
      <c r="CL121" s="354">
        <v>66.611840000000001</v>
      </c>
      <c r="CM121" s="354">
        <v>0</v>
      </c>
      <c r="CN121" s="354">
        <v>0</v>
      </c>
      <c r="CO121" s="354">
        <v>33.30592</v>
      </c>
      <c r="CP121" s="567">
        <v>0</v>
      </c>
      <c r="CQ121" s="354">
        <v>0</v>
      </c>
      <c r="CR121" s="354">
        <v>58.285359999999997</v>
      </c>
      <c r="CS121" s="354">
        <v>0</v>
      </c>
      <c r="CT121" s="354">
        <v>0</v>
      </c>
      <c r="CU121" s="354">
        <v>0</v>
      </c>
      <c r="CV121" s="354">
        <v>0</v>
      </c>
      <c r="CW121" s="354">
        <v>0</v>
      </c>
      <c r="CX121" s="354">
        <v>0</v>
      </c>
      <c r="CY121" s="354">
        <v>0</v>
      </c>
      <c r="CZ121" s="354">
        <v>0</v>
      </c>
      <c r="DA121" s="354">
        <v>0</v>
      </c>
      <c r="DB121" s="354">
        <v>0</v>
      </c>
      <c r="DC121" s="354">
        <v>0</v>
      </c>
      <c r="DD121" s="354">
        <v>0</v>
      </c>
      <c r="DE121" s="354">
        <v>0</v>
      </c>
      <c r="DF121" s="354">
        <v>0</v>
      </c>
      <c r="DG121" s="354">
        <v>0</v>
      </c>
      <c r="DH121" s="354">
        <v>0</v>
      </c>
      <c r="DI121" s="354">
        <v>0</v>
      </c>
      <c r="DJ121" s="354">
        <v>0</v>
      </c>
      <c r="DK121" s="354">
        <v>0</v>
      </c>
      <c r="DL121" s="354">
        <v>0</v>
      </c>
      <c r="DM121" s="354">
        <v>0</v>
      </c>
      <c r="DN121" s="354">
        <v>0</v>
      </c>
      <c r="DO121" s="354">
        <v>0</v>
      </c>
      <c r="DP121" s="354">
        <v>0</v>
      </c>
      <c r="DQ121" s="354">
        <v>0</v>
      </c>
      <c r="DR121" s="354">
        <v>0</v>
      </c>
      <c r="DS121" s="354">
        <v>0</v>
      </c>
      <c r="DT121" s="354">
        <v>0</v>
      </c>
      <c r="DU121" s="354">
        <v>0</v>
      </c>
      <c r="DV121" s="354">
        <v>0</v>
      </c>
      <c r="DW121" s="543">
        <f t="shared" si="17"/>
        <v>291.42679999999996</v>
      </c>
      <c r="DX121" s="858">
        <f>DW121+DW122+DW123</f>
        <v>353.87539999999996</v>
      </c>
      <c r="DY121" s="704">
        <f>+DX121*1000000</f>
        <v>353875399.99999994</v>
      </c>
      <c r="DZ121" s="870">
        <f>+DY121-D121</f>
        <v>0</v>
      </c>
      <c r="EA121" s="873">
        <f>VLOOKUP(POA!$B121,INTERPLAN,28,0)</f>
        <v>42526</v>
      </c>
      <c r="EB121" s="859">
        <f>+EDATE(EA121,C121)</f>
        <v>42740</v>
      </c>
      <c r="EC121" s="859">
        <f>EB121+30</f>
        <v>42770</v>
      </c>
      <c r="ED121" s="859" t="str">
        <f>CONCATENATE(MONTH(EA121),"-",YEAR(EA121))</f>
        <v>6-2016</v>
      </c>
      <c r="EE121" s="859" t="str">
        <f>CONCATENATE(MONTH(EB121),"-",YEAR(EB121))</f>
        <v>1-2017</v>
      </c>
      <c r="EF121" s="861" t="str">
        <f>CONCATENATE(MONTH(EC121),"-",YEAR(EC121))</f>
        <v>2-2017</v>
      </c>
      <c r="EG121" s="1105">
        <f>+YEAR(EA121)</f>
        <v>2016</v>
      </c>
      <c r="EH121" s="393">
        <f>+DY121</f>
        <v>353875399.99999994</v>
      </c>
      <c r="EI121" s="858">
        <f>+DW121+DW122+DW123</f>
        <v>353.87539999999996</v>
      </c>
      <c r="EJ121" s="877">
        <f>+D121/1000000-EI121</f>
        <v>0</v>
      </c>
      <c r="EM121" s="419"/>
      <c r="ER121" s="497"/>
    </row>
    <row r="122" spans="1:148" s="278" customFormat="1" outlineLevel="2" x14ac:dyDescent="0.2">
      <c r="A122" s="971"/>
      <c r="B122" s="974"/>
      <c r="C122" s="980"/>
      <c r="D122" s="1022"/>
      <c r="E122" s="867"/>
      <c r="F122" s="311" t="s">
        <v>210</v>
      </c>
      <c r="G122" s="363">
        <v>0</v>
      </c>
      <c r="H122" s="363">
        <v>0</v>
      </c>
      <c r="I122" s="363">
        <v>0</v>
      </c>
      <c r="J122" s="363">
        <v>0</v>
      </c>
      <c r="K122" s="363">
        <v>0</v>
      </c>
      <c r="L122" s="363">
        <v>0</v>
      </c>
      <c r="M122" s="363">
        <v>0</v>
      </c>
      <c r="N122" s="363">
        <v>0</v>
      </c>
      <c r="O122" s="363">
        <v>0</v>
      </c>
      <c r="P122" s="363">
        <v>0</v>
      </c>
      <c r="Q122" s="363">
        <v>0</v>
      </c>
      <c r="R122" s="363">
        <v>0</v>
      </c>
      <c r="S122" s="363">
        <v>0</v>
      </c>
      <c r="T122" s="363">
        <v>0</v>
      </c>
      <c r="U122" s="363">
        <v>0</v>
      </c>
      <c r="V122" s="363">
        <v>0</v>
      </c>
      <c r="W122" s="363">
        <v>0</v>
      </c>
      <c r="X122" s="363">
        <v>0</v>
      </c>
      <c r="Y122" s="363">
        <v>0</v>
      </c>
      <c r="Z122" s="363">
        <v>0</v>
      </c>
      <c r="AA122" s="363">
        <v>0</v>
      </c>
      <c r="AB122" s="363">
        <v>0</v>
      </c>
      <c r="AC122" s="363">
        <v>0</v>
      </c>
      <c r="AD122" s="363">
        <v>0</v>
      </c>
      <c r="AE122" s="363">
        <v>0</v>
      </c>
      <c r="AF122" s="363">
        <v>0</v>
      </c>
      <c r="AG122" s="363">
        <v>0</v>
      </c>
      <c r="AH122" s="363">
        <v>0</v>
      </c>
      <c r="AI122" s="363">
        <v>0</v>
      </c>
      <c r="AJ122" s="363">
        <v>0</v>
      </c>
      <c r="AK122" s="363">
        <v>0</v>
      </c>
      <c r="AL122" s="363">
        <v>0</v>
      </c>
      <c r="AM122" s="363">
        <v>0</v>
      </c>
      <c r="AN122" s="363">
        <v>0</v>
      </c>
      <c r="AO122" s="363">
        <v>0</v>
      </c>
      <c r="AP122" s="363">
        <v>0</v>
      </c>
      <c r="AQ122" s="363">
        <v>0</v>
      </c>
      <c r="AR122" s="363">
        <v>0</v>
      </c>
      <c r="AS122" s="363">
        <v>0</v>
      </c>
      <c r="AT122" s="363">
        <v>0</v>
      </c>
      <c r="AU122" s="363">
        <v>0</v>
      </c>
      <c r="AV122" s="363">
        <v>0</v>
      </c>
      <c r="AW122" s="363">
        <v>0</v>
      </c>
      <c r="AX122" s="363">
        <v>0</v>
      </c>
      <c r="AY122" s="363">
        <v>0</v>
      </c>
      <c r="AZ122" s="363">
        <v>0</v>
      </c>
      <c r="BA122" s="363">
        <v>0</v>
      </c>
      <c r="BB122" s="363">
        <v>0</v>
      </c>
      <c r="BC122" s="363">
        <v>0</v>
      </c>
      <c r="BD122" s="363">
        <v>0</v>
      </c>
      <c r="BE122" s="363">
        <v>0</v>
      </c>
      <c r="BF122" s="363">
        <v>0</v>
      </c>
      <c r="BG122" s="363">
        <v>0</v>
      </c>
      <c r="BH122" s="363">
        <v>0</v>
      </c>
      <c r="BI122" s="363">
        <v>0</v>
      </c>
      <c r="BJ122" s="363">
        <v>0</v>
      </c>
      <c r="BK122" s="363">
        <v>0</v>
      </c>
      <c r="BL122" s="363">
        <v>0</v>
      </c>
      <c r="BM122" s="363">
        <v>0</v>
      </c>
      <c r="BN122" s="363">
        <v>0</v>
      </c>
      <c r="BO122" s="363">
        <v>0</v>
      </c>
      <c r="BP122" s="363">
        <v>0</v>
      </c>
      <c r="BQ122" s="363">
        <v>0</v>
      </c>
      <c r="BR122" s="363">
        <v>0</v>
      </c>
      <c r="BS122" s="363">
        <v>0</v>
      </c>
      <c r="BT122" s="363">
        <v>0</v>
      </c>
      <c r="BU122" s="363">
        <v>0</v>
      </c>
      <c r="BV122" s="363">
        <v>0</v>
      </c>
      <c r="BW122" s="363">
        <v>0</v>
      </c>
      <c r="BX122" s="363">
        <v>0</v>
      </c>
      <c r="BY122" s="363">
        <v>0</v>
      </c>
      <c r="BZ122" s="363">
        <v>0</v>
      </c>
      <c r="CA122" s="363">
        <v>0</v>
      </c>
      <c r="CB122" s="363">
        <v>0</v>
      </c>
      <c r="CC122" s="363">
        <v>0</v>
      </c>
      <c r="CD122" s="363">
        <v>0</v>
      </c>
      <c r="CE122" s="363">
        <v>0</v>
      </c>
      <c r="CF122" s="363">
        <v>0</v>
      </c>
      <c r="CG122" s="363">
        <v>0</v>
      </c>
      <c r="CH122" s="363">
        <v>0</v>
      </c>
      <c r="CI122" s="363">
        <v>0</v>
      </c>
      <c r="CJ122" s="363">
        <v>0</v>
      </c>
      <c r="CK122" s="363">
        <v>0</v>
      </c>
      <c r="CL122" s="363">
        <v>0</v>
      </c>
      <c r="CM122" s="363">
        <v>0</v>
      </c>
      <c r="CN122" s="363">
        <v>0</v>
      </c>
      <c r="CO122" s="363"/>
      <c r="CP122" s="363"/>
      <c r="CQ122" s="363">
        <v>0</v>
      </c>
      <c r="CR122" s="363">
        <v>0</v>
      </c>
      <c r="CS122" s="363">
        <v>0</v>
      </c>
      <c r="CT122" s="363">
        <v>0</v>
      </c>
      <c r="CU122" s="363">
        <v>0</v>
      </c>
      <c r="CV122" s="363">
        <v>0</v>
      </c>
      <c r="CW122" s="363">
        <v>0</v>
      </c>
      <c r="CX122" s="363">
        <v>0</v>
      </c>
      <c r="CY122" s="363">
        <v>0</v>
      </c>
      <c r="CZ122" s="363">
        <v>0</v>
      </c>
      <c r="DA122" s="363">
        <v>0</v>
      </c>
      <c r="DB122" s="363">
        <v>0</v>
      </c>
      <c r="DC122" s="363">
        <v>0</v>
      </c>
      <c r="DD122" s="363">
        <v>0</v>
      </c>
      <c r="DE122" s="363">
        <v>0</v>
      </c>
      <c r="DF122" s="363">
        <v>0</v>
      </c>
      <c r="DG122" s="363">
        <v>0</v>
      </c>
      <c r="DH122" s="363">
        <v>0</v>
      </c>
      <c r="DI122" s="363">
        <v>0</v>
      </c>
      <c r="DJ122" s="363">
        <v>0</v>
      </c>
      <c r="DK122" s="363">
        <v>0</v>
      </c>
      <c r="DL122" s="363">
        <v>0</v>
      </c>
      <c r="DM122" s="363">
        <v>0</v>
      </c>
      <c r="DN122" s="363">
        <v>0</v>
      </c>
      <c r="DO122" s="363">
        <v>0</v>
      </c>
      <c r="DP122" s="363">
        <v>0</v>
      </c>
      <c r="DQ122" s="363">
        <v>0</v>
      </c>
      <c r="DR122" s="363">
        <v>0</v>
      </c>
      <c r="DS122" s="363">
        <v>0</v>
      </c>
      <c r="DT122" s="363">
        <v>0</v>
      </c>
      <c r="DU122" s="363">
        <v>0</v>
      </c>
      <c r="DV122" s="363">
        <v>0</v>
      </c>
      <c r="DW122" s="544">
        <f t="shared" si="17"/>
        <v>0</v>
      </c>
      <c r="DX122" s="858"/>
      <c r="DY122" s="705"/>
      <c r="DZ122" s="871"/>
      <c r="EA122" s="873"/>
      <c r="EB122" s="859"/>
      <c r="EC122" s="859"/>
      <c r="ED122" s="859"/>
      <c r="EE122" s="859"/>
      <c r="EF122" s="861"/>
      <c r="EG122" s="1106"/>
      <c r="EI122" s="858"/>
      <c r="EJ122" s="877"/>
      <c r="ER122" s="497"/>
    </row>
    <row r="123" spans="1:148" s="278" customFormat="1" ht="42" customHeight="1" outlineLevel="2" thickBot="1" x14ac:dyDescent="0.25">
      <c r="A123" s="972"/>
      <c r="B123" s="975"/>
      <c r="C123" s="1029"/>
      <c r="D123" s="1023"/>
      <c r="E123" s="868"/>
      <c r="F123" s="315" t="s">
        <v>211</v>
      </c>
      <c r="G123" s="364">
        <v>0</v>
      </c>
      <c r="H123" s="364">
        <v>0</v>
      </c>
      <c r="I123" s="364">
        <v>0</v>
      </c>
      <c r="J123" s="364">
        <v>0</v>
      </c>
      <c r="K123" s="364">
        <v>0</v>
      </c>
      <c r="L123" s="364">
        <v>0</v>
      </c>
      <c r="M123" s="364">
        <v>0</v>
      </c>
      <c r="N123" s="364">
        <v>0</v>
      </c>
      <c r="O123" s="364">
        <v>0</v>
      </c>
      <c r="P123" s="364">
        <v>0</v>
      </c>
      <c r="Q123" s="364">
        <v>0</v>
      </c>
      <c r="R123" s="364">
        <v>0</v>
      </c>
      <c r="S123" s="364">
        <v>0</v>
      </c>
      <c r="T123" s="364">
        <v>0</v>
      </c>
      <c r="U123" s="364">
        <v>0</v>
      </c>
      <c r="V123" s="364">
        <v>0</v>
      </c>
      <c r="W123" s="364">
        <v>0</v>
      </c>
      <c r="X123" s="364">
        <v>0</v>
      </c>
      <c r="Y123" s="364">
        <v>0</v>
      </c>
      <c r="Z123" s="364">
        <v>0</v>
      </c>
      <c r="AA123" s="364">
        <v>0</v>
      </c>
      <c r="AB123" s="364">
        <v>0</v>
      </c>
      <c r="AC123" s="364">
        <v>0</v>
      </c>
      <c r="AD123" s="364">
        <v>0</v>
      </c>
      <c r="AE123" s="364">
        <v>0</v>
      </c>
      <c r="AF123" s="364">
        <v>0</v>
      </c>
      <c r="AG123" s="364">
        <v>0</v>
      </c>
      <c r="AH123" s="364">
        <v>0</v>
      </c>
      <c r="AI123" s="364">
        <v>0</v>
      </c>
      <c r="AJ123" s="364">
        <v>0</v>
      </c>
      <c r="AK123" s="364">
        <v>0</v>
      </c>
      <c r="AL123" s="364">
        <v>0</v>
      </c>
      <c r="AM123" s="364">
        <v>0</v>
      </c>
      <c r="AN123" s="364">
        <v>0</v>
      </c>
      <c r="AO123" s="364">
        <v>0</v>
      </c>
      <c r="AP123" s="364">
        <v>0</v>
      </c>
      <c r="AQ123" s="364">
        <v>0</v>
      </c>
      <c r="AR123" s="364">
        <v>0</v>
      </c>
      <c r="AS123" s="364">
        <v>0</v>
      </c>
      <c r="AT123" s="364">
        <v>0</v>
      </c>
      <c r="AU123" s="364">
        <v>0</v>
      </c>
      <c r="AV123" s="364">
        <v>0</v>
      </c>
      <c r="AW123" s="364">
        <v>0</v>
      </c>
      <c r="AX123" s="364">
        <v>0</v>
      </c>
      <c r="AY123" s="364">
        <v>0</v>
      </c>
      <c r="AZ123" s="364">
        <v>0</v>
      </c>
      <c r="BA123" s="364">
        <v>0</v>
      </c>
      <c r="BB123" s="364">
        <v>0</v>
      </c>
      <c r="BC123" s="364">
        <v>0</v>
      </c>
      <c r="BD123" s="364">
        <v>0</v>
      </c>
      <c r="BE123" s="364">
        <v>0</v>
      </c>
      <c r="BF123" s="364">
        <v>0</v>
      </c>
      <c r="BG123" s="364">
        <v>0</v>
      </c>
      <c r="BH123" s="364">
        <v>0</v>
      </c>
      <c r="BI123" s="364">
        <v>0</v>
      </c>
      <c r="BJ123" s="364">
        <v>0</v>
      </c>
      <c r="BK123" s="364">
        <v>0</v>
      </c>
      <c r="BL123" s="364">
        <v>0</v>
      </c>
      <c r="BM123" s="364">
        <v>0</v>
      </c>
      <c r="BN123" s="364">
        <v>0</v>
      </c>
      <c r="BO123" s="364">
        <v>0</v>
      </c>
      <c r="BP123" s="364">
        <v>0</v>
      </c>
      <c r="BQ123" s="364">
        <v>0</v>
      </c>
      <c r="BR123" s="364">
        <v>0</v>
      </c>
      <c r="BS123" s="364">
        <v>0</v>
      </c>
      <c r="BT123" s="364">
        <v>0</v>
      </c>
      <c r="BU123" s="364">
        <v>0</v>
      </c>
      <c r="BV123" s="364">
        <v>0</v>
      </c>
      <c r="BW123" s="364">
        <v>0</v>
      </c>
      <c r="BX123" s="364">
        <v>0</v>
      </c>
      <c r="BY123" s="364">
        <v>0</v>
      </c>
      <c r="BZ123" s="364">
        <v>0</v>
      </c>
      <c r="CA123" s="364">
        <v>0</v>
      </c>
      <c r="CB123" s="364">
        <v>0</v>
      </c>
      <c r="CC123" s="364">
        <v>0</v>
      </c>
      <c r="CD123" s="364">
        <v>0</v>
      </c>
      <c r="CE123" s="364">
        <v>0</v>
      </c>
      <c r="CF123" s="364">
        <v>0</v>
      </c>
      <c r="CG123" s="364">
        <v>0</v>
      </c>
      <c r="CH123" s="364">
        <v>0</v>
      </c>
      <c r="CI123" s="364">
        <v>0</v>
      </c>
      <c r="CJ123" s="364">
        <v>0</v>
      </c>
      <c r="CK123" s="364">
        <v>0</v>
      </c>
      <c r="CL123" s="364">
        <v>0</v>
      </c>
      <c r="CM123" s="364">
        <v>0</v>
      </c>
      <c r="CN123" s="364">
        <v>33.30592</v>
      </c>
      <c r="CO123" s="364"/>
      <c r="CP123" s="364">
        <v>16.65296</v>
      </c>
      <c r="CQ123" s="364">
        <v>0</v>
      </c>
      <c r="CR123" s="364">
        <v>12.489719999999998</v>
      </c>
      <c r="CS123" s="364">
        <v>0</v>
      </c>
      <c r="CT123" s="364">
        <v>0</v>
      </c>
      <c r="CU123" s="364">
        <v>0</v>
      </c>
      <c r="CV123" s="364">
        <v>0</v>
      </c>
      <c r="CW123" s="364">
        <v>0</v>
      </c>
      <c r="CX123" s="364">
        <v>0</v>
      </c>
      <c r="CY123" s="364">
        <v>0</v>
      </c>
      <c r="CZ123" s="364">
        <v>0</v>
      </c>
      <c r="DA123" s="364">
        <v>0</v>
      </c>
      <c r="DB123" s="364">
        <v>0</v>
      </c>
      <c r="DC123" s="364">
        <v>0</v>
      </c>
      <c r="DD123" s="364">
        <v>0</v>
      </c>
      <c r="DE123" s="364">
        <v>0</v>
      </c>
      <c r="DF123" s="364">
        <v>0</v>
      </c>
      <c r="DG123" s="364">
        <v>0</v>
      </c>
      <c r="DH123" s="364">
        <v>0</v>
      </c>
      <c r="DI123" s="364">
        <v>0</v>
      </c>
      <c r="DJ123" s="364">
        <v>0</v>
      </c>
      <c r="DK123" s="364">
        <v>0</v>
      </c>
      <c r="DL123" s="364">
        <v>0</v>
      </c>
      <c r="DM123" s="364">
        <v>0</v>
      </c>
      <c r="DN123" s="364">
        <v>0</v>
      </c>
      <c r="DO123" s="364">
        <v>0</v>
      </c>
      <c r="DP123" s="364">
        <v>0</v>
      </c>
      <c r="DQ123" s="364">
        <v>0</v>
      </c>
      <c r="DR123" s="364">
        <v>0</v>
      </c>
      <c r="DS123" s="364">
        <v>0</v>
      </c>
      <c r="DT123" s="364">
        <v>0</v>
      </c>
      <c r="DU123" s="364">
        <v>0</v>
      </c>
      <c r="DV123" s="364">
        <v>0</v>
      </c>
      <c r="DW123" s="545">
        <f t="shared" si="17"/>
        <v>62.448599999999999</v>
      </c>
      <c r="DX123" s="858"/>
      <c r="DY123" s="706"/>
      <c r="DZ123" s="872"/>
      <c r="EA123" s="873"/>
      <c r="EB123" s="859"/>
      <c r="EC123" s="859"/>
      <c r="ED123" s="859"/>
      <c r="EE123" s="859"/>
      <c r="EF123" s="861"/>
      <c r="EG123" s="1107"/>
      <c r="EI123" s="858"/>
      <c r="EJ123" s="877"/>
      <c r="ER123" s="497"/>
    </row>
    <row r="124" spans="1:148" s="278" customFormat="1" ht="37.5" customHeight="1" outlineLevel="2" x14ac:dyDescent="0.2">
      <c r="A124" s="970" t="s">
        <v>587</v>
      </c>
      <c r="B124" s="973" t="s">
        <v>582</v>
      </c>
      <c r="C124" s="979">
        <v>7</v>
      </c>
      <c r="D124" s="1021">
        <f>+IFERROR(VLOOKUP(B124,'Detalle Plan de Adquisiciones'!$G$6:$M$66,7,FALSE),0)</f>
        <v>4805182695</v>
      </c>
      <c r="E124" s="1010" t="str">
        <f>+'Detalle Plan de Adquisiciones'!F33</f>
        <v>REHABILITACIÓN DEL PAVIMENTO RÍGIDO Y ANDENES DE LA CALLE 24 ENTRE CARRERA 22 Y CARRERA 25, ID (76); CARRERA 22 ENTRE CALLE 23 Y CALLE 24, ID (77); CALLE 23 ENTRE CARRERA 20 Y CARRERA 22, ID (78); CARRERAS 8, 9 Y 10 ENTRE CALLES 27 Y 30, ID (231, 232 Y 233) Y LA CARRERA 1W ENTRE CALLE 36 Y CALLE 41, INCLUYE ANDENES Y ESPACIO PÚBLICO DE LA SECCIÓN IZQUIERDA SENTIDO SUR - NORTE, ID (9). PERTENECIENTES AL SISTEMA ESTRATÉGICO DE TRANSPORTE PUBLICO "SETP" DE LA CIUDAD DE MONTERÍA.</v>
      </c>
      <c r="F124" s="312" t="s">
        <v>410</v>
      </c>
      <c r="G124" s="354">
        <v>0</v>
      </c>
      <c r="H124" s="354">
        <v>0</v>
      </c>
      <c r="I124" s="354">
        <v>0</v>
      </c>
      <c r="J124" s="354">
        <v>0</v>
      </c>
      <c r="K124" s="354">
        <v>0</v>
      </c>
      <c r="L124" s="354">
        <v>0</v>
      </c>
      <c r="M124" s="354">
        <v>0</v>
      </c>
      <c r="N124" s="354">
        <v>0</v>
      </c>
      <c r="O124" s="354">
        <v>0</v>
      </c>
      <c r="P124" s="354">
        <v>0</v>
      </c>
      <c r="Q124" s="354">
        <v>0</v>
      </c>
      <c r="R124" s="354">
        <v>0</v>
      </c>
      <c r="S124" s="354">
        <v>0</v>
      </c>
      <c r="T124" s="354">
        <v>0</v>
      </c>
      <c r="U124" s="354">
        <v>0</v>
      </c>
      <c r="V124" s="354">
        <v>0</v>
      </c>
      <c r="W124" s="354">
        <v>0</v>
      </c>
      <c r="X124" s="354">
        <v>0</v>
      </c>
      <c r="Y124" s="354">
        <v>0</v>
      </c>
      <c r="Z124" s="354">
        <v>0</v>
      </c>
      <c r="AA124" s="354">
        <v>0</v>
      </c>
      <c r="AB124" s="354">
        <v>0</v>
      </c>
      <c r="AC124" s="354">
        <v>0</v>
      </c>
      <c r="AD124" s="354">
        <v>0</v>
      </c>
      <c r="AE124" s="354">
        <v>0</v>
      </c>
      <c r="AF124" s="354">
        <v>0</v>
      </c>
      <c r="AG124" s="354">
        <v>0</v>
      </c>
      <c r="AH124" s="354">
        <v>0</v>
      </c>
      <c r="AI124" s="354">
        <v>0</v>
      </c>
      <c r="AJ124" s="354">
        <v>0</v>
      </c>
      <c r="AK124" s="354">
        <v>0</v>
      </c>
      <c r="AL124" s="354">
        <v>0</v>
      </c>
      <c r="AM124" s="354">
        <v>0</v>
      </c>
      <c r="AN124" s="354">
        <v>0</v>
      </c>
      <c r="AO124" s="354">
        <v>0</v>
      </c>
      <c r="AP124" s="354">
        <v>0</v>
      </c>
      <c r="AQ124" s="354">
        <v>0</v>
      </c>
      <c r="AR124" s="354">
        <v>0</v>
      </c>
      <c r="AS124" s="354">
        <v>0</v>
      </c>
      <c r="AT124" s="354">
        <v>0</v>
      </c>
      <c r="AU124" s="354">
        <v>0</v>
      </c>
      <c r="AV124" s="354">
        <v>0</v>
      </c>
      <c r="AW124" s="354">
        <v>0</v>
      </c>
      <c r="AX124" s="354">
        <v>0</v>
      </c>
      <c r="AY124" s="354">
        <v>0</v>
      </c>
      <c r="AZ124" s="354">
        <v>0</v>
      </c>
      <c r="BA124" s="354">
        <v>0</v>
      </c>
      <c r="BB124" s="354">
        <v>0</v>
      </c>
      <c r="BC124" s="354">
        <v>0</v>
      </c>
      <c r="BD124" s="354">
        <v>0</v>
      </c>
      <c r="BE124" s="354">
        <v>0</v>
      </c>
      <c r="BF124" s="354">
        <v>0</v>
      </c>
      <c r="BG124" s="354">
        <v>0</v>
      </c>
      <c r="BH124" s="354">
        <v>0</v>
      </c>
      <c r="BI124" s="354">
        <v>0</v>
      </c>
      <c r="BJ124" s="354">
        <v>0</v>
      </c>
      <c r="BK124" s="354">
        <v>0</v>
      </c>
      <c r="BL124" s="354">
        <v>0</v>
      </c>
      <c r="BM124" s="354">
        <v>0</v>
      </c>
      <c r="BN124" s="354">
        <v>0</v>
      </c>
      <c r="BO124" s="354">
        <v>0</v>
      </c>
      <c r="BP124" s="354">
        <v>0</v>
      </c>
      <c r="BQ124" s="354">
        <v>0</v>
      </c>
      <c r="BR124" s="354">
        <v>0</v>
      </c>
      <c r="BS124" s="354">
        <v>0</v>
      </c>
      <c r="BT124" s="354">
        <v>0</v>
      </c>
      <c r="BU124" s="354">
        <v>0</v>
      </c>
      <c r="BV124" s="354">
        <v>0</v>
      </c>
      <c r="BW124" s="354">
        <v>0</v>
      </c>
      <c r="BX124" s="354">
        <v>0</v>
      </c>
      <c r="BY124" s="354">
        <v>0</v>
      </c>
      <c r="BZ124" s="354">
        <v>0</v>
      </c>
      <c r="CA124" s="354">
        <v>0</v>
      </c>
      <c r="CB124" s="354">
        <v>0</v>
      </c>
      <c r="CC124" s="354">
        <v>0</v>
      </c>
      <c r="CD124" s="354">
        <v>0</v>
      </c>
      <c r="CE124" s="354">
        <v>0</v>
      </c>
      <c r="CF124" s="354">
        <v>0</v>
      </c>
      <c r="CG124" s="354">
        <v>0</v>
      </c>
      <c r="CH124" s="354"/>
      <c r="CI124" s="354"/>
      <c r="CJ124" s="354">
        <v>0</v>
      </c>
      <c r="CK124" s="354">
        <v>0</v>
      </c>
      <c r="CL124" s="354">
        <v>480.51826999999997</v>
      </c>
      <c r="CM124" s="354">
        <v>0</v>
      </c>
      <c r="CN124" s="354">
        <v>1034.985516</v>
      </c>
      <c r="CO124" s="354">
        <v>0</v>
      </c>
      <c r="CP124" s="354">
        <v>1121.5367409999999</v>
      </c>
      <c r="CQ124" s="354"/>
      <c r="CR124" s="354">
        <f>1690.143073-CS124</f>
        <v>487.62389800000005</v>
      </c>
      <c r="CS124" s="354">
        <v>1202.5191749999999</v>
      </c>
      <c r="CT124" s="354">
        <v>0</v>
      </c>
      <c r="CU124" s="354">
        <v>0</v>
      </c>
      <c r="CV124" s="354">
        <v>477.99908900000003</v>
      </c>
      <c r="CW124" s="354">
        <v>0</v>
      </c>
      <c r="CX124" s="354">
        <v>0</v>
      </c>
      <c r="CY124" s="354">
        <v>0</v>
      </c>
      <c r="CZ124" s="354">
        <v>0</v>
      </c>
      <c r="DA124" s="354">
        <v>0</v>
      </c>
      <c r="DB124" s="354">
        <v>0</v>
      </c>
      <c r="DC124" s="354">
        <v>0</v>
      </c>
      <c r="DD124" s="354">
        <v>0</v>
      </c>
      <c r="DE124" s="354">
        <v>0</v>
      </c>
      <c r="DF124" s="354">
        <v>0</v>
      </c>
      <c r="DG124" s="354">
        <v>0</v>
      </c>
      <c r="DH124" s="354">
        <v>0</v>
      </c>
      <c r="DI124" s="354">
        <v>0</v>
      </c>
      <c r="DJ124" s="354">
        <v>0</v>
      </c>
      <c r="DK124" s="354">
        <v>0</v>
      </c>
      <c r="DL124" s="354">
        <v>0</v>
      </c>
      <c r="DM124" s="354">
        <v>0</v>
      </c>
      <c r="DN124" s="354">
        <v>0</v>
      </c>
      <c r="DO124" s="354">
        <v>0</v>
      </c>
      <c r="DP124" s="354">
        <v>0</v>
      </c>
      <c r="DQ124" s="354">
        <v>0</v>
      </c>
      <c r="DR124" s="354">
        <v>0</v>
      </c>
      <c r="DS124" s="354">
        <v>0</v>
      </c>
      <c r="DT124" s="354">
        <v>0</v>
      </c>
      <c r="DU124" s="354">
        <v>0</v>
      </c>
      <c r="DV124" s="354">
        <v>0</v>
      </c>
      <c r="DW124" s="543">
        <f t="shared" si="17"/>
        <v>4805.1826890000002</v>
      </c>
      <c r="DX124" s="858">
        <f>DW124+DW125+DW126</f>
        <v>4805.1826890000002</v>
      </c>
      <c r="DY124" s="704">
        <f>+DX124*1000000</f>
        <v>4805182689</v>
      </c>
      <c r="DZ124" s="1038">
        <f>+DY124-D124</f>
        <v>-6</v>
      </c>
      <c r="EA124" s="873">
        <f>VLOOKUP(POA!$B124,'Detalle Plan de Adquisiciones'!$G$6:$AF$66,23,0)</f>
        <v>42628</v>
      </c>
      <c r="EB124" s="859">
        <f>VLOOKUP(POA!$B124,'Detalle Plan de Adquisiciones'!$G$6:$AF$66,25,0)</f>
        <v>42840</v>
      </c>
      <c r="EC124" s="859">
        <f>EB124+30</f>
        <v>42870</v>
      </c>
      <c r="ED124" s="859" t="str">
        <f>CONCATENATE(MONTH(EA124),"-",YEAR(EA124))</f>
        <v>9-2016</v>
      </c>
      <c r="EE124" s="859" t="str">
        <f>CONCATENATE(MONTH(EB124),"-",YEAR(EB124))</f>
        <v>4-2017</v>
      </c>
      <c r="EF124" s="861" t="str">
        <f>CONCATENATE(MONTH(EC124),"-",YEAR(EC124))</f>
        <v>5-2017</v>
      </c>
      <c r="EG124" s="1105">
        <f>+YEAR(EA124)</f>
        <v>2016</v>
      </c>
      <c r="EH124" s="393">
        <f>+DY124</f>
        <v>4805182689</v>
      </c>
      <c r="EI124" s="858">
        <f>+DW124+DW125+DW126</f>
        <v>4805.1826890000002</v>
      </c>
      <c r="EJ124" s="877">
        <f>+D124/1000000-EI124</f>
        <v>6.0000002122251317E-6</v>
      </c>
      <c r="EL124" s="585"/>
      <c r="EM124" s="419"/>
      <c r="EN124" s="419"/>
      <c r="ER124" s="497"/>
    </row>
    <row r="125" spans="1:148" s="278" customFormat="1" ht="37.5" customHeight="1" outlineLevel="2" x14ac:dyDescent="0.2">
      <c r="A125" s="971"/>
      <c r="B125" s="974"/>
      <c r="C125" s="980"/>
      <c r="D125" s="1022"/>
      <c r="E125" s="1011"/>
      <c r="F125" s="311" t="s">
        <v>210</v>
      </c>
      <c r="G125" s="363">
        <v>0</v>
      </c>
      <c r="H125" s="363">
        <v>0</v>
      </c>
      <c r="I125" s="363">
        <v>0</v>
      </c>
      <c r="J125" s="363">
        <v>0</v>
      </c>
      <c r="K125" s="363">
        <v>0</v>
      </c>
      <c r="L125" s="363">
        <v>0</v>
      </c>
      <c r="M125" s="363">
        <v>0</v>
      </c>
      <c r="N125" s="363">
        <v>0</v>
      </c>
      <c r="O125" s="363">
        <v>0</v>
      </c>
      <c r="P125" s="363">
        <v>0</v>
      </c>
      <c r="Q125" s="363">
        <v>0</v>
      </c>
      <c r="R125" s="363">
        <v>0</v>
      </c>
      <c r="S125" s="363">
        <v>0</v>
      </c>
      <c r="T125" s="363">
        <v>0</v>
      </c>
      <c r="U125" s="363">
        <v>0</v>
      </c>
      <c r="V125" s="363">
        <v>0</v>
      </c>
      <c r="W125" s="363">
        <v>0</v>
      </c>
      <c r="X125" s="363">
        <v>0</v>
      </c>
      <c r="Y125" s="363">
        <v>0</v>
      </c>
      <c r="Z125" s="363">
        <v>0</v>
      </c>
      <c r="AA125" s="363">
        <v>0</v>
      </c>
      <c r="AB125" s="363">
        <v>0</v>
      </c>
      <c r="AC125" s="363">
        <v>0</v>
      </c>
      <c r="AD125" s="363">
        <v>0</v>
      </c>
      <c r="AE125" s="363">
        <v>0</v>
      </c>
      <c r="AF125" s="363">
        <v>0</v>
      </c>
      <c r="AG125" s="363">
        <v>0</v>
      </c>
      <c r="AH125" s="363">
        <v>0</v>
      </c>
      <c r="AI125" s="363">
        <v>0</v>
      </c>
      <c r="AJ125" s="363">
        <v>0</v>
      </c>
      <c r="AK125" s="363">
        <v>0</v>
      </c>
      <c r="AL125" s="363">
        <v>0</v>
      </c>
      <c r="AM125" s="363">
        <v>0</v>
      </c>
      <c r="AN125" s="363">
        <v>0</v>
      </c>
      <c r="AO125" s="363">
        <v>0</v>
      </c>
      <c r="AP125" s="363">
        <v>0</v>
      </c>
      <c r="AQ125" s="363">
        <v>0</v>
      </c>
      <c r="AR125" s="363">
        <v>0</v>
      </c>
      <c r="AS125" s="363">
        <v>0</v>
      </c>
      <c r="AT125" s="363">
        <v>0</v>
      </c>
      <c r="AU125" s="363">
        <v>0</v>
      </c>
      <c r="AV125" s="363">
        <v>0</v>
      </c>
      <c r="AW125" s="363">
        <v>0</v>
      </c>
      <c r="AX125" s="363">
        <v>0</v>
      </c>
      <c r="AY125" s="363">
        <v>0</v>
      </c>
      <c r="AZ125" s="363">
        <v>0</v>
      </c>
      <c r="BA125" s="363">
        <v>0</v>
      </c>
      <c r="BB125" s="363">
        <v>0</v>
      </c>
      <c r="BC125" s="363">
        <v>0</v>
      </c>
      <c r="BD125" s="363">
        <v>0</v>
      </c>
      <c r="BE125" s="363">
        <v>0</v>
      </c>
      <c r="BF125" s="363">
        <v>0</v>
      </c>
      <c r="BG125" s="363">
        <v>0</v>
      </c>
      <c r="BH125" s="363">
        <v>0</v>
      </c>
      <c r="BI125" s="363">
        <v>0</v>
      </c>
      <c r="BJ125" s="363">
        <v>0</v>
      </c>
      <c r="BK125" s="363">
        <v>0</v>
      </c>
      <c r="BL125" s="363">
        <v>0</v>
      </c>
      <c r="BM125" s="363">
        <v>0</v>
      </c>
      <c r="BN125" s="363">
        <v>0</v>
      </c>
      <c r="BO125" s="363">
        <v>0</v>
      </c>
      <c r="BP125" s="363">
        <v>0</v>
      </c>
      <c r="BQ125" s="363">
        <v>0</v>
      </c>
      <c r="BR125" s="363">
        <v>0</v>
      </c>
      <c r="BS125" s="363">
        <v>0</v>
      </c>
      <c r="BT125" s="363">
        <v>0</v>
      </c>
      <c r="BU125" s="363">
        <v>0</v>
      </c>
      <c r="BV125" s="363">
        <v>0</v>
      </c>
      <c r="BW125" s="363">
        <v>0</v>
      </c>
      <c r="BX125" s="363">
        <v>0</v>
      </c>
      <c r="BY125" s="363">
        <v>0</v>
      </c>
      <c r="BZ125" s="363">
        <v>0</v>
      </c>
      <c r="CA125" s="363">
        <v>0</v>
      </c>
      <c r="CB125" s="363">
        <v>0</v>
      </c>
      <c r="CC125" s="363">
        <v>0</v>
      </c>
      <c r="CD125" s="363">
        <v>0</v>
      </c>
      <c r="CE125" s="363">
        <v>0</v>
      </c>
      <c r="CF125" s="363">
        <v>0</v>
      </c>
      <c r="CG125" s="363">
        <v>0</v>
      </c>
      <c r="CH125" s="363">
        <v>0</v>
      </c>
      <c r="CI125" s="363">
        <v>0</v>
      </c>
      <c r="CJ125" s="363">
        <v>0</v>
      </c>
      <c r="CK125" s="363">
        <v>0</v>
      </c>
      <c r="CL125" s="363">
        <v>0</v>
      </c>
      <c r="CM125" s="363">
        <v>0</v>
      </c>
      <c r="CN125" s="363">
        <v>0</v>
      </c>
      <c r="CO125" s="363">
        <v>0</v>
      </c>
      <c r="CP125" s="363">
        <v>0</v>
      </c>
      <c r="CQ125" s="363"/>
      <c r="CR125" s="363">
        <v>0</v>
      </c>
      <c r="CS125" s="363"/>
      <c r="CT125" s="363"/>
      <c r="CU125" s="363">
        <v>0</v>
      </c>
      <c r="CV125" s="363">
        <v>0</v>
      </c>
      <c r="CW125" s="363">
        <v>0</v>
      </c>
      <c r="CX125" s="363">
        <v>0</v>
      </c>
      <c r="CY125" s="363">
        <v>0</v>
      </c>
      <c r="CZ125" s="363">
        <v>0</v>
      </c>
      <c r="DA125" s="363">
        <v>0</v>
      </c>
      <c r="DB125" s="363">
        <v>0</v>
      </c>
      <c r="DC125" s="363">
        <v>0</v>
      </c>
      <c r="DD125" s="363">
        <v>0</v>
      </c>
      <c r="DE125" s="363">
        <v>0</v>
      </c>
      <c r="DF125" s="363">
        <v>0</v>
      </c>
      <c r="DG125" s="363">
        <v>0</v>
      </c>
      <c r="DH125" s="363">
        <v>0</v>
      </c>
      <c r="DI125" s="363">
        <v>0</v>
      </c>
      <c r="DJ125" s="363">
        <v>0</v>
      </c>
      <c r="DK125" s="363">
        <v>0</v>
      </c>
      <c r="DL125" s="363">
        <v>0</v>
      </c>
      <c r="DM125" s="363">
        <v>0</v>
      </c>
      <c r="DN125" s="363">
        <v>0</v>
      </c>
      <c r="DO125" s="363">
        <v>0</v>
      </c>
      <c r="DP125" s="363">
        <v>0</v>
      </c>
      <c r="DQ125" s="363">
        <v>0</v>
      </c>
      <c r="DR125" s="363">
        <v>0</v>
      </c>
      <c r="DS125" s="363">
        <v>0</v>
      </c>
      <c r="DT125" s="363">
        <v>0</v>
      </c>
      <c r="DU125" s="363">
        <v>0</v>
      </c>
      <c r="DV125" s="363">
        <v>0</v>
      </c>
      <c r="DW125" s="544">
        <f t="shared" si="17"/>
        <v>0</v>
      </c>
      <c r="DX125" s="858"/>
      <c r="DY125" s="705"/>
      <c r="DZ125" s="1039"/>
      <c r="EA125" s="873"/>
      <c r="EB125" s="859"/>
      <c r="EC125" s="859"/>
      <c r="ED125" s="859"/>
      <c r="EE125" s="859"/>
      <c r="EF125" s="861"/>
      <c r="EG125" s="1106"/>
      <c r="EI125" s="858"/>
      <c r="EJ125" s="877"/>
      <c r="ER125" s="497"/>
    </row>
    <row r="126" spans="1:148" s="278" customFormat="1" ht="37.5" customHeight="1" outlineLevel="2" thickBot="1" x14ac:dyDescent="0.25">
      <c r="A126" s="972"/>
      <c r="B126" s="975"/>
      <c r="C126" s="1029"/>
      <c r="D126" s="1023"/>
      <c r="E126" s="1024"/>
      <c r="F126" s="315" t="s">
        <v>211</v>
      </c>
      <c r="G126" s="387">
        <v>0</v>
      </c>
      <c r="H126" s="387">
        <v>0</v>
      </c>
      <c r="I126" s="387">
        <v>0</v>
      </c>
      <c r="J126" s="387">
        <v>0</v>
      </c>
      <c r="K126" s="387">
        <v>0</v>
      </c>
      <c r="L126" s="387">
        <v>0</v>
      </c>
      <c r="M126" s="387">
        <v>0</v>
      </c>
      <c r="N126" s="387">
        <v>0</v>
      </c>
      <c r="O126" s="387">
        <v>0</v>
      </c>
      <c r="P126" s="387">
        <v>0</v>
      </c>
      <c r="Q126" s="387">
        <v>0</v>
      </c>
      <c r="R126" s="387">
        <v>0</v>
      </c>
      <c r="S126" s="387">
        <v>0</v>
      </c>
      <c r="T126" s="387">
        <v>0</v>
      </c>
      <c r="U126" s="387">
        <v>0</v>
      </c>
      <c r="V126" s="387">
        <v>0</v>
      </c>
      <c r="W126" s="387">
        <v>0</v>
      </c>
      <c r="X126" s="387">
        <v>0</v>
      </c>
      <c r="Y126" s="387">
        <v>0</v>
      </c>
      <c r="Z126" s="387">
        <v>0</v>
      </c>
      <c r="AA126" s="387">
        <v>0</v>
      </c>
      <c r="AB126" s="387">
        <v>0</v>
      </c>
      <c r="AC126" s="387">
        <v>0</v>
      </c>
      <c r="AD126" s="387">
        <v>0</v>
      </c>
      <c r="AE126" s="387">
        <v>0</v>
      </c>
      <c r="AF126" s="387">
        <v>0</v>
      </c>
      <c r="AG126" s="387">
        <v>0</v>
      </c>
      <c r="AH126" s="387">
        <v>0</v>
      </c>
      <c r="AI126" s="387">
        <v>0</v>
      </c>
      <c r="AJ126" s="387">
        <v>0</v>
      </c>
      <c r="AK126" s="387">
        <v>0</v>
      </c>
      <c r="AL126" s="387">
        <v>0</v>
      </c>
      <c r="AM126" s="387">
        <v>0</v>
      </c>
      <c r="AN126" s="387">
        <v>0</v>
      </c>
      <c r="AO126" s="387">
        <v>0</v>
      </c>
      <c r="AP126" s="387">
        <v>0</v>
      </c>
      <c r="AQ126" s="387">
        <v>0</v>
      </c>
      <c r="AR126" s="387">
        <v>0</v>
      </c>
      <c r="AS126" s="387">
        <v>0</v>
      </c>
      <c r="AT126" s="387">
        <v>0</v>
      </c>
      <c r="AU126" s="387">
        <v>0</v>
      </c>
      <c r="AV126" s="387">
        <v>0</v>
      </c>
      <c r="AW126" s="387">
        <v>0</v>
      </c>
      <c r="AX126" s="387">
        <v>0</v>
      </c>
      <c r="AY126" s="387">
        <v>0</v>
      </c>
      <c r="AZ126" s="387">
        <v>0</v>
      </c>
      <c r="BA126" s="387">
        <v>0</v>
      </c>
      <c r="BB126" s="387">
        <v>0</v>
      </c>
      <c r="BC126" s="387">
        <v>0</v>
      </c>
      <c r="BD126" s="387">
        <v>0</v>
      </c>
      <c r="BE126" s="387">
        <v>0</v>
      </c>
      <c r="BF126" s="387">
        <v>0</v>
      </c>
      <c r="BG126" s="387">
        <v>0</v>
      </c>
      <c r="BH126" s="387">
        <v>0</v>
      </c>
      <c r="BI126" s="387">
        <v>0</v>
      </c>
      <c r="BJ126" s="387">
        <v>0</v>
      </c>
      <c r="BK126" s="387">
        <v>0</v>
      </c>
      <c r="BL126" s="387">
        <v>0</v>
      </c>
      <c r="BM126" s="387">
        <v>0</v>
      </c>
      <c r="BN126" s="387">
        <v>0</v>
      </c>
      <c r="BO126" s="387">
        <v>0</v>
      </c>
      <c r="BP126" s="387">
        <v>0</v>
      </c>
      <c r="BQ126" s="387">
        <v>0</v>
      </c>
      <c r="BR126" s="387">
        <v>0</v>
      </c>
      <c r="BS126" s="387">
        <v>0</v>
      </c>
      <c r="BT126" s="387">
        <v>0</v>
      </c>
      <c r="BU126" s="387">
        <v>0</v>
      </c>
      <c r="BV126" s="387">
        <v>0</v>
      </c>
      <c r="BW126" s="387">
        <v>0</v>
      </c>
      <c r="BX126" s="387">
        <v>0</v>
      </c>
      <c r="BY126" s="387">
        <v>0</v>
      </c>
      <c r="BZ126" s="387">
        <v>0</v>
      </c>
      <c r="CA126" s="387">
        <v>0</v>
      </c>
      <c r="CB126" s="387">
        <v>0</v>
      </c>
      <c r="CC126" s="387">
        <v>0</v>
      </c>
      <c r="CD126" s="387">
        <v>0</v>
      </c>
      <c r="CE126" s="387">
        <v>0</v>
      </c>
      <c r="CF126" s="387">
        <v>0</v>
      </c>
      <c r="CG126" s="387">
        <v>0</v>
      </c>
      <c r="CH126" s="387">
        <v>0</v>
      </c>
      <c r="CI126" s="387">
        <v>0</v>
      </c>
      <c r="CJ126" s="387">
        <v>0</v>
      </c>
      <c r="CK126" s="387">
        <v>0</v>
      </c>
      <c r="CL126" s="387">
        <v>0</v>
      </c>
      <c r="CM126" s="387">
        <v>0</v>
      </c>
      <c r="CN126" s="387">
        <v>0</v>
      </c>
      <c r="CO126" s="387">
        <v>0</v>
      </c>
      <c r="CP126" s="387">
        <v>0</v>
      </c>
      <c r="CQ126" s="387"/>
      <c r="CR126" s="387"/>
      <c r="CS126" s="387"/>
      <c r="CT126" s="559"/>
      <c r="CU126" s="387">
        <v>0</v>
      </c>
      <c r="CV126" s="387">
        <v>0</v>
      </c>
      <c r="CW126" s="387">
        <v>0</v>
      </c>
      <c r="CX126" s="387">
        <v>0</v>
      </c>
      <c r="CY126" s="387">
        <v>0</v>
      </c>
      <c r="CZ126" s="387">
        <v>0</v>
      </c>
      <c r="DA126" s="387">
        <v>0</v>
      </c>
      <c r="DB126" s="387">
        <v>0</v>
      </c>
      <c r="DC126" s="387">
        <v>0</v>
      </c>
      <c r="DD126" s="387">
        <v>0</v>
      </c>
      <c r="DE126" s="387">
        <v>0</v>
      </c>
      <c r="DF126" s="387">
        <v>0</v>
      </c>
      <c r="DG126" s="387">
        <v>0</v>
      </c>
      <c r="DH126" s="387">
        <v>0</v>
      </c>
      <c r="DI126" s="387">
        <v>0</v>
      </c>
      <c r="DJ126" s="387">
        <v>0</v>
      </c>
      <c r="DK126" s="387">
        <v>0</v>
      </c>
      <c r="DL126" s="387">
        <v>0</v>
      </c>
      <c r="DM126" s="387">
        <v>0</v>
      </c>
      <c r="DN126" s="387">
        <v>0</v>
      </c>
      <c r="DO126" s="387">
        <v>0</v>
      </c>
      <c r="DP126" s="387">
        <v>0</v>
      </c>
      <c r="DQ126" s="387">
        <v>0</v>
      </c>
      <c r="DR126" s="387">
        <v>0</v>
      </c>
      <c r="DS126" s="387">
        <v>0</v>
      </c>
      <c r="DT126" s="387">
        <v>0</v>
      </c>
      <c r="DU126" s="387">
        <v>0</v>
      </c>
      <c r="DV126" s="387">
        <v>0</v>
      </c>
      <c r="DW126" s="545">
        <f t="shared" si="17"/>
        <v>0</v>
      </c>
      <c r="DX126" s="858"/>
      <c r="DY126" s="706"/>
      <c r="DZ126" s="1040"/>
      <c r="EA126" s="873"/>
      <c r="EB126" s="859"/>
      <c r="EC126" s="859"/>
      <c r="ED126" s="859"/>
      <c r="EE126" s="859"/>
      <c r="EF126" s="861"/>
      <c r="EG126" s="1107"/>
      <c r="EI126" s="858"/>
      <c r="EJ126" s="877"/>
      <c r="ER126" s="497"/>
    </row>
    <row r="127" spans="1:148" s="278" customFormat="1" ht="18.75" customHeight="1" outlineLevel="2" x14ac:dyDescent="0.2">
      <c r="A127" s="970" t="s">
        <v>590</v>
      </c>
      <c r="B127" s="973" t="s">
        <v>582</v>
      </c>
      <c r="C127" s="979">
        <v>7</v>
      </c>
      <c r="D127" s="1021">
        <f>+IFERROR(VLOOKUP(B127,'Detalle Plan de Adquisiciones'!$G$53:$L$153,6,FALSE),0)</f>
        <v>336362789</v>
      </c>
      <c r="E127" s="1010" t="str">
        <f>+'Detalle Plan de Adquisiciones'!F117</f>
        <v>INTERVENTORÍA TÉCNICA, ADMINISTRATIVA, FINANCIERA Y AMBIENTAL AL CONTRATO CUYO OBJETO ES LA REHABILITACIÓN DEL PAVIMENTO RÍGIDO Y ANDENES DE LA CALLE 24 ENTRE CARRERA 22 Y CARRERA 25, ID (76); CARRERA 22 ENTRE CALLE 23 Y CALLE 24, ID (77); CALLE 23 ENTRE CARRERA 20 Y CARRERA 22, ID (78) ); CARRERAS 8, 9 Y 10 ENTRE CALLES 27 Y 30, ID (231, 232 Y 233) Y LA CARRERA 1W ENTRE CALLE 36 Y CALLE 41, INCLUYE ANDENES Y ESPACIO PÚBLICO DE LA SECCIÓN IZQUIERDA SENTIDO SUR - NORTE, ID (9). PERTENECIENTE AL SISTEMA ESTRATÉGICO DE TRANSPORTE PUBLICO "SETP" DE LA CIUDAD DE MONTERÍA.</v>
      </c>
      <c r="F127" s="312" t="s">
        <v>410</v>
      </c>
      <c r="G127" s="354">
        <v>0</v>
      </c>
      <c r="H127" s="354">
        <v>0</v>
      </c>
      <c r="I127" s="354">
        <v>0</v>
      </c>
      <c r="J127" s="354">
        <v>0</v>
      </c>
      <c r="K127" s="354">
        <v>0</v>
      </c>
      <c r="L127" s="354">
        <v>0</v>
      </c>
      <c r="M127" s="354">
        <v>0</v>
      </c>
      <c r="N127" s="354">
        <v>0</v>
      </c>
      <c r="O127" s="354">
        <v>0</v>
      </c>
      <c r="P127" s="354">
        <v>0</v>
      </c>
      <c r="Q127" s="354">
        <v>0</v>
      </c>
      <c r="R127" s="354">
        <v>0</v>
      </c>
      <c r="S127" s="354">
        <v>0</v>
      </c>
      <c r="T127" s="354">
        <v>0</v>
      </c>
      <c r="U127" s="354">
        <v>0</v>
      </c>
      <c r="V127" s="354">
        <v>0</v>
      </c>
      <c r="W127" s="354">
        <v>0</v>
      </c>
      <c r="X127" s="354">
        <v>0</v>
      </c>
      <c r="Y127" s="354">
        <v>0</v>
      </c>
      <c r="Z127" s="354">
        <v>0</v>
      </c>
      <c r="AA127" s="354">
        <v>0</v>
      </c>
      <c r="AB127" s="354">
        <v>0</v>
      </c>
      <c r="AC127" s="354">
        <v>0</v>
      </c>
      <c r="AD127" s="354">
        <v>0</v>
      </c>
      <c r="AE127" s="354">
        <v>0</v>
      </c>
      <c r="AF127" s="354">
        <v>0</v>
      </c>
      <c r="AG127" s="354">
        <v>0</v>
      </c>
      <c r="AH127" s="354">
        <v>0</v>
      </c>
      <c r="AI127" s="354">
        <v>0</v>
      </c>
      <c r="AJ127" s="354">
        <v>0</v>
      </c>
      <c r="AK127" s="354">
        <v>0</v>
      </c>
      <c r="AL127" s="354">
        <v>0</v>
      </c>
      <c r="AM127" s="354">
        <v>0</v>
      </c>
      <c r="AN127" s="354">
        <v>0</v>
      </c>
      <c r="AO127" s="354">
        <v>0</v>
      </c>
      <c r="AP127" s="354">
        <v>0</v>
      </c>
      <c r="AQ127" s="354">
        <v>0</v>
      </c>
      <c r="AR127" s="354">
        <v>0</v>
      </c>
      <c r="AS127" s="354">
        <v>0</v>
      </c>
      <c r="AT127" s="354">
        <v>0</v>
      </c>
      <c r="AU127" s="354">
        <v>0</v>
      </c>
      <c r="AV127" s="354">
        <v>0</v>
      </c>
      <c r="AW127" s="354">
        <v>0</v>
      </c>
      <c r="AX127" s="354">
        <v>0</v>
      </c>
      <c r="AY127" s="354">
        <v>0</v>
      </c>
      <c r="AZ127" s="354">
        <v>0</v>
      </c>
      <c r="BA127" s="354">
        <v>0</v>
      </c>
      <c r="BB127" s="354">
        <v>0</v>
      </c>
      <c r="BC127" s="354">
        <v>0</v>
      </c>
      <c r="BD127" s="354">
        <v>0</v>
      </c>
      <c r="BE127" s="354">
        <v>0</v>
      </c>
      <c r="BF127" s="354">
        <v>0</v>
      </c>
      <c r="BG127" s="354">
        <v>0</v>
      </c>
      <c r="BH127" s="354">
        <v>0</v>
      </c>
      <c r="BI127" s="354">
        <v>0</v>
      </c>
      <c r="BJ127" s="354">
        <v>0</v>
      </c>
      <c r="BK127" s="354">
        <v>0</v>
      </c>
      <c r="BL127" s="354">
        <v>0</v>
      </c>
      <c r="BM127" s="354">
        <v>0</v>
      </c>
      <c r="BN127" s="354">
        <v>0</v>
      </c>
      <c r="BO127" s="354">
        <v>0</v>
      </c>
      <c r="BP127" s="354">
        <v>0</v>
      </c>
      <c r="BQ127" s="354">
        <v>0</v>
      </c>
      <c r="BR127" s="354">
        <v>0</v>
      </c>
      <c r="BS127" s="354">
        <v>0</v>
      </c>
      <c r="BT127" s="354">
        <v>0</v>
      </c>
      <c r="BU127" s="354">
        <v>0</v>
      </c>
      <c r="BV127" s="354">
        <v>0</v>
      </c>
      <c r="BW127" s="354">
        <v>0</v>
      </c>
      <c r="BX127" s="354">
        <v>0</v>
      </c>
      <c r="BY127" s="354">
        <v>0</v>
      </c>
      <c r="BZ127" s="354">
        <v>0</v>
      </c>
      <c r="CA127" s="560">
        <v>0</v>
      </c>
      <c r="CB127" s="560">
        <v>0</v>
      </c>
      <c r="CC127" s="560">
        <v>0</v>
      </c>
      <c r="CD127" s="560">
        <v>0</v>
      </c>
      <c r="CE127" s="560">
        <v>0</v>
      </c>
      <c r="CF127" s="560">
        <v>0</v>
      </c>
      <c r="CG127" s="560">
        <v>0</v>
      </c>
      <c r="CH127" s="560">
        <v>0</v>
      </c>
      <c r="CI127" s="598"/>
      <c r="CJ127" s="560">
        <v>0</v>
      </c>
      <c r="CK127" s="599">
        <v>0</v>
      </c>
      <c r="CL127" s="390">
        <v>0</v>
      </c>
      <c r="CM127" s="663">
        <v>30.295446999999999</v>
      </c>
      <c r="CN127" s="663">
        <v>0</v>
      </c>
      <c r="CO127" s="663">
        <v>0</v>
      </c>
      <c r="CP127" s="354">
        <v>149.863641</v>
      </c>
      <c r="CR127" s="354">
        <v>0</v>
      </c>
      <c r="CS127" s="354">
        <v>0</v>
      </c>
      <c r="CT127" s="651">
        <v>0</v>
      </c>
      <c r="CU127" s="651">
        <v>0</v>
      </c>
      <c r="CV127" s="651">
        <v>156.203701</v>
      </c>
      <c r="CW127" s="354">
        <v>0</v>
      </c>
      <c r="CX127" s="354">
        <v>0</v>
      </c>
      <c r="CY127" s="354">
        <v>0</v>
      </c>
      <c r="CZ127" s="354">
        <v>0</v>
      </c>
      <c r="DA127" s="354">
        <v>0</v>
      </c>
      <c r="DB127" s="354">
        <v>0</v>
      </c>
      <c r="DC127" s="354">
        <v>0</v>
      </c>
      <c r="DD127" s="354">
        <v>0</v>
      </c>
      <c r="DE127" s="354">
        <v>0</v>
      </c>
      <c r="DF127" s="354">
        <v>0</v>
      </c>
      <c r="DG127" s="354">
        <v>0</v>
      </c>
      <c r="DH127" s="354">
        <v>0</v>
      </c>
      <c r="DI127" s="354">
        <v>0</v>
      </c>
      <c r="DJ127" s="354">
        <v>0</v>
      </c>
      <c r="DK127" s="354">
        <v>0</v>
      </c>
      <c r="DL127" s="354">
        <v>0</v>
      </c>
      <c r="DM127" s="354">
        <v>0</v>
      </c>
      <c r="DN127" s="354">
        <v>0</v>
      </c>
      <c r="DO127" s="354">
        <v>0</v>
      </c>
      <c r="DP127" s="354">
        <v>0</v>
      </c>
      <c r="DQ127" s="354">
        <v>0</v>
      </c>
      <c r="DR127" s="354">
        <v>0</v>
      </c>
      <c r="DS127" s="354">
        <v>0</v>
      </c>
      <c r="DT127" s="354">
        <v>0</v>
      </c>
      <c r="DU127" s="354">
        <v>0</v>
      </c>
      <c r="DV127" s="354">
        <v>0</v>
      </c>
      <c r="DW127" s="543">
        <f t="shared" si="17"/>
        <v>336.36278900000002</v>
      </c>
      <c r="DX127" s="869">
        <f>DW127+DW128+DW129</f>
        <v>336.36278900000002</v>
      </c>
      <c r="DY127" s="704">
        <f>+DX127*1000000</f>
        <v>336362789</v>
      </c>
      <c r="DZ127" s="870">
        <f>+DY127-D127</f>
        <v>0</v>
      </c>
      <c r="EA127" s="1000">
        <f>VLOOKUP(POA!$B127,INTERPLAN,28,0)</f>
        <v>42628</v>
      </c>
      <c r="EB127" s="1003">
        <f>+EDATE(EA127,C127)</f>
        <v>42840</v>
      </c>
      <c r="EC127" s="1003">
        <f>EB127+30</f>
        <v>42870</v>
      </c>
      <c r="ED127" s="1003" t="str">
        <f>CONCATENATE(MONTH(EA127),"-",YEAR(EA127))</f>
        <v>9-2016</v>
      </c>
      <c r="EE127" s="1003" t="str">
        <f>CONCATENATE(MONTH(EB127),"-",YEAR(EB127))</f>
        <v>4-2017</v>
      </c>
      <c r="EF127" s="1061" t="str">
        <f>CONCATENATE(MONTH(EC127),"-",YEAR(EC127))</f>
        <v>5-2017</v>
      </c>
      <c r="EG127" s="1105">
        <f>+YEAR(EA127)</f>
        <v>2016</v>
      </c>
      <c r="EH127" s="393">
        <f>+DY127</f>
        <v>336362789</v>
      </c>
      <c r="EI127" s="858">
        <f>+DW127+DW128+DW129</f>
        <v>336.36278900000002</v>
      </c>
      <c r="EJ127" s="877">
        <f>+D127/1000000-EI127</f>
        <v>0</v>
      </c>
      <c r="ER127" s="497"/>
    </row>
    <row r="128" spans="1:148" s="278" customFormat="1" ht="20.25" customHeight="1" outlineLevel="2" x14ac:dyDescent="0.2">
      <c r="A128" s="971"/>
      <c r="B128" s="974"/>
      <c r="C128" s="980"/>
      <c r="D128" s="1022"/>
      <c r="E128" s="1011"/>
      <c r="F128" s="311" t="s">
        <v>210</v>
      </c>
      <c r="G128" s="363">
        <v>0</v>
      </c>
      <c r="H128" s="363">
        <v>0</v>
      </c>
      <c r="I128" s="363">
        <v>0</v>
      </c>
      <c r="J128" s="363">
        <v>0</v>
      </c>
      <c r="K128" s="363">
        <v>0</v>
      </c>
      <c r="L128" s="363">
        <v>0</v>
      </c>
      <c r="M128" s="363">
        <v>0</v>
      </c>
      <c r="N128" s="363">
        <v>0</v>
      </c>
      <c r="O128" s="363">
        <v>0</v>
      </c>
      <c r="P128" s="363">
        <v>0</v>
      </c>
      <c r="Q128" s="363">
        <v>0</v>
      </c>
      <c r="R128" s="363">
        <v>0</v>
      </c>
      <c r="S128" s="363">
        <v>0</v>
      </c>
      <c r="T128" s="363">
        <v>0</v>
      </c>
      <c r="U128" s="363">
        <v>0</v>
      </c>
      <c r="V128" s="363">
        <v>0</v>
      </c>
      <c r="W128" s="363">
        <v>0</v>
      </c>
      <c r="X128" s="363">
        <v>0</v>
      </c>
      <c r="Y128" s="363">
        <v>0</v>
      </c>
      <c r="Z128" s="363">
        <v>0</v>
      </c>
      <c r="AA128" s="363">
        <v>0</v>
      </c>
      <c r="AB128" s="363">
        <v>0</v>
      </c>
      <c r="AC128" s="363">
        <v>0</v>
      </c>
      <c r="AD128" s="363">
        <v>0</v>
      </c>
      <c r="AE128" s="363">
        <v>0</v>
      </c>
      <c r="AF128" s="363">
        <v>0</v>
      </c>
      <c r="AG128" s="363">
        <v>0</v>
      </c>
      <c r="AH128" s="363">
        <v>0</v>
      </c>
      <c r="AI128" s="363">
        <v>0</v>
      </c>
      <c r="AJ128" s="363">
        <v>0</v>
      </c>
      <c r="AK128" s="363">
        <v>0</v>
      </c>
      <c r="AL128" s="363">
        <v>0</v>
      </c>
      <c r="AM128" s="363">
        <v>0</v>
      </c>
      <c r="AN128" s="363">
        <v>0</v>
      </c>
      <c r="AO128" s="363">
        <v>0</v>
      </c>
      <c r="AP128" s="363">
        <v>0</v>
      </c>
      <c r="AQ128" s="363">
        <v>0</v>
      </c>
      <c r="AR128" s="363">
        <v>0</v>
      </c>
      <c r="AS128" s="363">
        <v>0</v>
      </c>
      <c r="AT128" s="363">
        <v>0</v>
      </c>
      <c r="AU128" s="363">
        <v>0</v>
      </c>
      <c r="AV128" s="363">
        <v>0</v>
      </c>
      <c r="AW128" s="363">
        <v>0</v>
      </c>
      <c r="AX128" s="363">
        <v>0</v>
      </c>
      <c r="AY128" s="363">
        <v>0</v>
      </c>
      <c r="AZ128" s="363">
        <v>0</v>
      </c>
      <c r="BA128" s="363">
        <v>0</v>
      </c>
      <c r="BB128" s="363">
        <v>0</v>
      </c>
      <c r="BC128" s="363">
        <v>0</v>
      </c>
      <c r="BD128" s="363">
        <v>0</v>
      </c>
      <c r="BE128" s="363">
        <v>0</v>
      </c>
      <c r="BF128" s="363">
        <v>0</v>
      </c>
      <c r="BG128" s="363">
        <v>0</v>
      </c>
      <c r="BH128" s="363">
        <v>0</v>
      </c>
      <c r="BI128" s="363">
        <v>0</v>
      </c>
      <c r="BJ128" s="363">
        <v>0</v>
      </c>
      <c r="BK128" s="363">
        <v>0</v>
      </c>
      <c r="BL128" s="363">
        <v>0</v>
      </c>
      <c r="BM128" s="363">
        <v>0</v>
      </c>
      <c r="BN128" s="363">
        <v>0</v>
      </c>
      <c r="BO128" s="363">
        <v>0</v>
      </c>
      <c r="BP128" s="363">
        <v>0</v>
      </c>
      <c r="BQ128" s="363">
        <v>0</v>
      </c>
      <c r="BR128" s="363">
        <v>0</v>
      </c>
      <c r="BS128" s="363">
        <v>0</v>
      </c>
      <c r="BT128" s="363">
        <v>0</v>
      </c>
      <c r="BU128" s="363">
        <v>0</v>
      </c>
      <c r="BV128" s="363">
        <v>0</v>
      </c>
      <c r="BW128" s="363">
        <v>0</v>
      </c>
      <c r="BX128" s="363">
        <v>0</v>
      </c>
      <c r="BY128" s="363">
        <v>0</v>
      </c>
      <c r="BZ128" s="363">
        <v>0</v>
      </c>
      <c r="CA128" s="363">
        <v>0</v>
      </c>
      <c r="CB128" s="363">
        <v>0</v>
      </c>
      <c r="CC128" s="363">
        <v>0</v>
      </c>
      <c r="CD128" s="363">
        <v>0</v>
      </c>
      <c r="CE128" s="363">
        <v>0</v>
      </c>
      <c r="CF128" s="363">
        <v>0</v>
      </c>
      <c r="CG128" s="363">
        <v>0</v>
      </c>
      <c r="CH128" s="363">
        <v>0</v>
      </c>
      <c r="CI128" s="363">
        <v>0</v>
      </c>
      <c r="CJ128" s="363">
        <v>0</v>
      </c>
      <c r="CK128" s="363">
        <v>0</v>
      </c>
      <c r="CL128" s="363">
        <v>0</v>
      </c>
      <c r="CM128" s="363">
        <v>0</v>
      </c>
      <c r="CN128" s="363">
        <v>0</v>
      </c>
      <c r="CO128" s="363">
        <v>0</v>
      </c>
      <c r="CP128" s="363">
        <v>0</v>
      </c>
      <c r="CQ128" s="363">
        <v>0</v>
      </c>
      <c r="CR128" s="363">
        <v>0</v>
      </c>
      <c r="CS128" s="363">
        <v>0</v>
      </c>
      <c r="CT128" s="363"/>
      <c r="CU128" s="363">
        <v>0</v>
      </c>
      <c r="CV128" s="363">
        <v>0</v>
      </c>
      <c r="CW128" s="363">
        <v>0</v>
      </c>
      <c r="CX128" s="363">
        <v>0</v>
      </c>
      <c r="CY128" s="363">
        <v>0</v>
      </c>
      <c r="CZ128" s="363">
        <v>0</v>
      </c>
      <c r="DA128" s="363">
        <v>0</v>
      </c>
      <c r="DB128" s="363">
        <v>0</v>
      </c>
      <c r="DC128" s="363">
        <v>0</v>
      </c>
      <c r="DD128" s="363">
        <v>0</v>
      </c>
      <c r="DE128" s="363">
        <v>0</v>
      </c>
      <c r="DF128" s="363">
        <v>0</v>
      </c>
      <c r="DG128" s="363">
        <v>0</v>
      </c>
      <c r="DH128" s="363">
        <v>0</v>
      </c>
      <c r="DI128" s="363">
        <v>0</v>
      </c>
      <c r="DJ128" s="363">
        <v>0</v>
      </c>
      <c r="DK128" s="363">
        <v>0</v>
      </c>
      <c r="DL128" s="363">
        <v>0</v>
      </c>
      <c r="DM128" s="363">
        <v>0</v>
      </c>
      <c r="DN128" s="363">
        <v>0</v>
      </c>
      <c r="DO128" s="363">
        <v>0</v>
      </c>
      <c r="DP128" s="363">
        <v>0</v>
      </c>
      <c r="DQ128" s="363">
        <v>0</v>
      </c>
      <c r="DR128" s="363">
        <v>0</v>
      </c>
      <c r="DS128" s="363">
        <v>0</v>
      </c>
      <c r="DT128" s="363">
        <v>0</v>
      </c>
      <c r="DU128" s="363">
        <v>0</v>
      </c>
      <c r="DV128" s="363">
        <v>0</v>
      </c>
      <c r="DW128" s="544">
        <f t="shared" si="17"/>
        <v>0</v>
      </c>
      <c r="DX128" s="890"/>
      <c r="DY128" s="705"/>
      <c r="DZ128" s="871"/>
      <c r="EA128" s="1001"/>
      <c r="EB128" s="1004"/>
      <c r="EC128" s="1004"/>
      <c r="ED128" s="1004"/>
      <c r="EE128" s="1004"/>
      <c r="EF128" s="1062"/>
      <c r="EG128" s="1106"/>
      <c r="EI128" s="858"/>
      <c r="EJ128" s="877"/>
      <c r="ER128" s="497"/>
    </row>
    <row r="129" spans="1:148" s="278" customFormat="1" ht="30.75" customHeight="1" outlineLevel="2" thickBot="1" x14ac:dyDescent="0.25">
      <c r="A129" s="972"/>
      <c r="B129" s="975"/>
      <c r="C129" s="981"/>
      <c r="D129" s="1023"/>
      <c r="E129" s="1012"/>
      <c r="F129" s="313" t="s">
        <v>211</v>
      </c>
      <c r="G129" s="387">
        <v>0</v>
      </c>
      <c r="H129" s="387">
        <v>0</v>
      </c>
      <c r="I129" s="387">
        <v>0</v>
      </c>
      <c r="J129" s="387">
        <v>0</v>
      </c>
      <c r="K129" s="387">
        <v>0</v>
      </c>
      <c r="L129" s="387">
        <v>0</v>
      </c>
      <c r="M129" s="387">
        <v>0</v>
      </c>
      <c r="N129" s="387">
        <v>0</v>
      </c>
      <c r="O129" s="387">
        <v>0</v>
      </c>
      <c r="P129" s="387">
        <v>0</v>
      </c>
      <c r="Q129" s="387">
        <v>0</v>
      </c>
      <c r="R129" s="387">
        <v>0</v>
      </c>
      <c r="S129" s="387">
        <v>0</v>
      </c>
      <c r="T129" s="387">
        <v>0</v>
      </c>
      <c r="U129" s="387">
        <v>0</v>
      </c>
      <c r="V129" s="387">
        <v>0</v>
      </c>
      <c r="W129" s="387">
        <v>0</v>
      </c>
      <c r="X129" s="387">
        <v>0</v>
      </c>
      <c r="Y129" s="387">
        <v>0</v>
      </c>
      <c r="Z129" s="387">
        <v>0</v>
      </c>
      <c r="AA129" s="387">
        <v>0</v>
      </c>
      <c r="AB129" s="387">
        <v>0</v>
      </c>
      <c r="AC129" s="387">
        <v>0</v>
      </c>
      <c r="AD129" s="387">
        <v>0</v>
      </c>
      <c r="AE129" s="387">
        <v>0</v>
      </c>
      <c r="AF129" s="387">
        <v>0</v>
      </c>
      <c r="AG129" s="387">
        <v>0</v>
      </c>
      <c r="AH129" s="387">
        <v>0</v>
      </c>
      <c r="AI129" s="387">
        <v>0</v>
      </c>
      <c r="AJ129" s="387">
        <v>0</v>
      </c>
      <c r="AK129" s="387">
        <v>0</v>
      </c>
      <c r="AL129" s="387">
        <v>0</v>
      </c>
      <c r="AM129" s="387">
        <v>0</v>
      </c>
      <c r="AN129" s="387">
        <v>0</v>
      </c>
      <c r="AO129" s="387">
        <v>0</v>
      </c>
      <c r="AP129" s="387">
        <v>0</v>
      </c>
      <c r="AQ129" s="387">
        <v>0</v>
      </c>
      <c r="AR129" s="387">
        <v>0</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c r="BP129" s="387">
        <v>0</v>
      </c>
      <c r="BQ129" s="387">
        <v>0</v>
      </c>
      <c r="BR129" s="387">
        <v>0</v>
      </c>
      <c r="BS129" s="387">
        <v>0</v>
      </c>
      <c r="BT129" s="387">
        <v>0</v>
      </c>
      <c r="BU129" s="387">
        <v>0</v>
      </c>
      <c r="BV129" s="387">
        <v>0</v>
      </c>
      <c r="BW129" s="387">
        <v>0</v>
      </c>
      <c r="BX129" s="387">
        <v>0</v>
      </c>
      <c r="BY129" s="387">
        <v>0</v>
      </c>
      <c r="BZ129" s="387">
        <v>0</v>
      </c>
      <c r="CA129" s="387">
        <v>0</v>
      </c>
      <c r="CB129" s="387">
        <v>0</v>
      </c>
      <c r="CC129" s="387">
        <v>0</v>
      </c>
      <c r="CD129" s="387">
        <v>0</v>
      </c>
      <c r="CE129" s="387">
        <v>0</v>
      </c>
      <c r="CF129" s="387">
        <v>0</v>
      </c>
      <c r="CG129" s="387">
        <v>0</v>
      </c>
      <c r="CH129" s="387">
        <v>0</v>
      </c>
      <c r="CI129" s="387">
        <v>0</v>
      </c>
      <c r="CJ129" s="387">
        <v>0</v>
      </c>
      <c r="CK129" s="387">
        <v>0</v>
      </c>
      <c r="CL129" s="387">
        <v>0</v>
      </c>
      <c r="CM129" s="387">
        <v>0</v>
      </c>
      <c r="CN129" s="387">
        <v>0</v>
      </c>
      <c r="CO129" s="387">
        <v>0</v>
      </c>
      <c r="CP129" s="387">
        <v>0</v>
      </c>
      <c r="CQ129" s="387">
        <v>0</v>
      </c>
      <c r="CR129" s="387">
        <v>0</v>
      </c>
      <c r="CS129" s="387">
        <v>0</v>
      </c>
      <c r="CT129" s="387"/>
      <c r="CU129" s="387">
        <v>0</v>
      </c>
      <c r="CV129" s="387">
        <v>0</v>
      </c>
      <c r="CW129" s="387">
        <v>0</v>
      </c>
      <c r="CX129" s="387">
        <v>0</v>
      </c>
      <c r="CY129" s="387">
        <v>0</v>
      </c>
      <c r="CZ129" s="387">
        <v>0</v>
      </c>
      <c r="DA129" s="387">
        <v>0</v>
      </c>
      <c r="DB129" s="387">
        <v>0</v>
      </c>
      <c r="DC129" s="387">
        <v>0</v>
      </c>
      <c r="DD129" s="387">
        <v>0</v>
      </c>
      <c r="DE129" s="387">
        <v>0</v>
      </c>
      <c r="DF129" s="387">
        <v>0</v>
      </c>
      <c r="DG129" s="387">
        <v>0</v>
      </c>
      <c r="DH129" s="387">
        <v>0</v>
      </c>
      <c r="DI129" s="387">
        <v>0</v>
      </c>
      <c r="DJ129" s="387">
        <v>0</v>
      </c>
      <c r="DK129" s="387">
        <v>0</v>
      </c>
      <c r="DL129" s="387">
        <v>0</v>
      </c>
      <c r="DM129" s="387">
        <v>0</v>
      </c>
      <c r="DN129" s="387">
        <v>0</v>
      </c>
      <c r="DO129" s="387">
        <v>0</v>
      </c>
      <c r="DP129" s="387">
        <v>0</v>
      </c>
      <c r="DQ129" s="387">
        <v>0</v>
      </c>
      <c r="DR129" s="387">
        <v>0</v>
      </c>
      <c r="DS129" s="387">
        <v>0</v>
      </c>
      <c r="DT129" s="387">
        <v>0</v>
      </c>
      <c r="DU129" s="387">
        <v>0</v>
      </c>
      <c r="DV129" s="387">
        <v>0</v>
      </c>
      <c r="DW129" s="545">
        <f t="shared" si="17"/>
        <v>0</v>
      </c>
      <c r="DX129" s="891"/>
      <c r="DY129" s="706"/>
      <c r="DZ129" s="872"/>
      <c r="EA129" s="1002"/>
      <c r="EB129" s="1005"/>
      <c r="EC129" s="1005"/>
      <c r="ED129" s="1005"/>
      <c r="EE129" s="1005"/>
      <c r="EF129" s="1063"/>
      <c r="EG129" s="1107"/>
      <c r="EI129" s="858"/>
      <c r="EJ129" s="877"/>
      <c r="ER129" s="497"/>
    </row>
    <row r="130" spans="1:148" s="278" customFormat="1" ht="37.5" customHeight="1" outlineLevel="2" x14ac:dyDescent="0.2">
      <c r="A130" s="970" t="s">
        <v>584</v>
      </c>
      <c r="B130" s="973" t="s">
        <v>575</v>
      </c>
      <c r="C130" s="979">
        <v>6</v>
      </c>
      <c r="D130" s="1021">
        <f>+IFERROR(VLOOKUP(B130,'Detalle Plan de Adquisiciones'!$G$6:$M$66,7,FALSE),0)</f>
        <v>3345397037</v>
      </c>
      <c r="E130" s="1010" t="str">
        <f>+'Detalle Plan de Adquisiciones'!F34</f>
        <v>REHABILITACIÓN DEL PAVIMENTO RÍGIDO Y ANDENES DE LA CARRERA 16 ENTRE CALLE 24 Y CALLE 27 (ID 81), CALLE 27 ENTRE AVENIDA CIRCUNVALAR Y CARRERA 15A (ID 83), CALLE 12C ENTRE CARRERA 9 Y AVENIDA CIRCUNVALAR (ID 96), CALLE 43 ENTRE CARRERA 5 Y CARRERA 4 (ID 123),  CARRERA 5 ENTRE CALLE 41 Y CALLE 43 (ID 124) Y LA CONSTRUCCIÓN DE UN PUENTE PEATONAL, ID [PP - 3]; UBICADO EN LA CALLE 41 CON CALLE 29 (TERMINAL DE TRANSPORTE). PERTENECIENTES AL SISTEMA ESTRATÉGICO DE TRANSPORTE PUBLICO "SETP" DE LA CIUDAD DE MONTERÍA.</v>
      </c>
      <c r="F130" s="312" t="s">
        <v>410</v>
      </c>
      <c r="G130" s="354">
        <v>0</v>
      </c>
      <c r="H130" s="354">
        <v>0</v>
      </c>
      <c r="I130" s="354">
        <v>0</v>
      </c>
      <c r="J130" s="354">
        <v>0</v>
      </c>
      <c r="K130" s="354">
        <v>0</v>
      </c>
      <c r="L130" s="354">
        <v>0</v>
      </c>
      <c r="M130" s="354">
        <v>0</v>
      </c>
      <c r="N130" s="354">
        <v>0</v>
      </c>
      <c r="O130" s="354">
        <v>0</v>
      </c>
      <c r="P130" s="354">
        <v>0</v>
      </c>
      <c r="Q130" s="354">
        <v>0</v>
      </c>
      <c r="R130" s="354">
        <v>0</v>
      </c>
      <c r="S130" s="354">
        <v>0</v>
      </c>
      <c r="T130" s="354">
        <v>0</v>
      </c>
      <c r="U130" s="354">
        <v>0</v>
      </c>
      <c r="V130" s="354">
        <v>0</v>
      </c>
      <c r="W130" s="354">
        <v>0</v>
      </c>
      <c r="X130" s="354">
        <v>0</v>
      </c>
      <c r="Y130" s="354">
        <v>0</v>
      </c>
      <c r="Z130" s="354">
        <v>0</v>
      </c>
      <c r="AA130" s="354">
        <v>0</v>
      </c>
      <c r="AB130" s="354">
        <v>0</v>
      </c>
      <c r="AC130" s="354">
        <v>0</v>
      </c>
      <c r="AD130" s="354">
        <v>0</v>
      </c>
      <c r="AE130" s="354">
        <v>0</v>
      </c>
      <c r="AF130" s="354">
        <v>0</v>
      </c>
      <c r="AG130" s="354">
        <v>0</v>
      </c>
      <c r="AH130" s="354">
        <v>0</v>
      </c>
      <c r="AI130" s="354">
        <v>0</v>
      </c>
      <c r="AJ130" s="354">
        <v>0</v>
      </c>
      <c r="AK130" s="354">
        <v>0</v>
      </c>
      <c r="AL130" s="354">
        <v>0</v>
      </c>
      <c r="AM130" s="354">
        <v>0</v>
      </c>
      <c r="AN130" s="354">
        <v>0</v>
      </c>
      <c r="AO130" s="354">
        <v>0</v>
      </c>
      <c r="AP130" s="354">
        <v>0</v>
      </c>
      <c r="AQ130" s="354">
        <v>0</v>
      </c>
      <c r="AR130" s="354">
        <v>0</v>
      </c>
      <c r="AS130" s="354">
        <v>0</v>
      </c>
      <c r="AT130" s="354">
        <v>0</v>
      </c>
      <c r="AU130" s="354">
        <v>0</v>
      </c>
      <c r="AV130" s="354">
        <v>0</v>
      </c>
      <c r="AW130" s="354">
        <v>0</v>
      </c>
      <c r="AX130" s="354">
        <v>0</v>
      </c>
      <c r="AY130" s="354">
        <v>0</v>
      </c>
      <c r="AZ130" s="354">
        <v>0</v>
      </c>
      <c r="BA130" s="354">
        <v>0</v>
      </c>
      <c r="BB130" s="354">
        <v>0</v>
      </c>
      <c r="BC130" s="354">
        <v>0</v>
      </c>
      <c r="BD130" s="354">
        <v>0</v>
      </c>
      <c r="BE130" s="354">
        <v>0</v>
      </c>
      <c r="BF130" s="354">
        <v>0</v>
      </c>
      <c r="BG130" s="354">
        <v>0</v>
      </c>
      <c r="BH130" s="354">
        <v>0</v>
      </c>
      <c r="BI130" s="354">
        <v>0</v>
      </c>
      <c r="BJ130" s="354">
        <v>0</v>
      </c>
      <c r="BK130" s="354">
        <v>0</v>
      </c>
      <c r="BL130" s="354">
        <v>0</v>
      </c>
      <c r="BM130" s="354">
        <v>0</v>
      </c>
      <c r="BN130" s="354">
        <v>0</v>
      </c>
      <c r="BO130" s="354">
        <v>0</v>
      </c>
      <c r="BP130" s="354">
        <v>0</v>
      </c>
      <c r="BQ130" s="354">
        <v>0</v>
      </c>
      <c r="BR130" s="354">
        <v>0</v>
      </c>
      <c r="BS130" s="354">
        <v>0</v>
      </c>
      <c r="BT130" s="354">
        <v>0</v>
      </c>
      <c r="BU130" s="354">
        <v>0</v>
      </c>
      <c r="BV130" s="354">
        <v>0</v>
      </c>
      <c r="BW130" s="354">
        <v>0</v>
      </c>
      <c r="BX130" s="354">
        <v>0</v>
      </c>
      <c r="BY130" s="354">
        <v>0</v>
      </c>
      <c r="BZ130" s="354">
        <v>0</v>
      </c>
      <c r="CA130" s="354">
        <v>0</v>
      </c>
      <c r="CB130" s="354">
        <v>0</v>
      </c>
      <c r="CC130" s="354">
        <v>0</v>
      </c>
      <c r="CD130" s="354">
        <v>0</v>
      </c>
      <c r="CE130" s="354">
        <v>0</v>
      </c>
      <c r="CF130" s="354">
        <v>0</v>
      </c>
      <c r="CG130" s="354">
        <v>0</v>
      </c>
      <c r="CH130" s="354"/>
      <c r="CI130" s="354"/>
      <c r="CJ130" s="354"/>
      <c r="CK130" s="354">
        <v>0</v>
      </c>
      <c r="CL130" s="354">
        <v>0</v>
      </c>
      <c r="CM130" s="354">
        <v>0</v>
      </c>
      <c r="CN130" s="354">
        <v>0</v>
      </c>
      <c r="CO130" s="832">
        <v>334.53970399999997</v>
      </c>
      <c r="CP130" s="664">
        <v>0</v>
      </c>
      <c r="CQ130" s="354">
        <v>0</v>
      </c>
      <c r="CR130" s="354">
        <v>1526.5328139999999</v>
      </c>
      <c r="CS130" s="354">
        <v>0</v>
      </c>
      <c r="CT130" s="354">
        <v>0</v>
      </c>
      <c r="CU130" s="354">
        <v>44.530617000000348</v>
      </c>
      <c r="CV130" s="354">
        <f>1484.324519-CU130</f>
        <v>1439.7939019999997</v>
      </c>
      <c r="CW130" s="354">
        <v>0</v>
      </c>
      <c r="CX130" s="354">
        <v>0</v>
      </c>
      <c r="CY130" s="354">
        <v>0</v>
      </c>
      <c r="CZ130" s="354">
        <v>0</v>
      </c>
      <c r="DA130" s="354">
        <v>0</v>
      </c>
      <c r="DB130" s="354">
        <v>0</v>
      </c>
      <c r="DC130" s="354">
        <v>0</v>
      </c>
      <c r="DD130" s="354">
        <v>0</v>
      </c>
      <c r="DE130" s="354">
        <v>0</v>
      </c>
      <c r="DF130" s="354">
        <v>0</v>
      </c>
      <c r="DG130" s="354">
        <v>0</v>
      </c>
      <c r="DH130" s="354">
        <v>0</v>
      </c>
      <c r="DI130" s="354">
        <v>0</v>
      </c>
      <c r="DJ130" s="354">
        <v>0</v>
      </c>
      <c r="DK130" s="354">
        <v>0</v>
      </c>
      <c r="DL130" s="354">
        <v>0</v>
      </c>
      <c r="DM130" s="354">
        <v>0</v>
      </c>
      <c r="DN130" s="354">
        <v>0</v>
      </c>
      <c r="DO130" s="354">
        <v>0</v>
      </c>
      <c r="DP130" s="354">
        <v>0</v>
      </c>
      <c r="DQ130" s="354">
        <v>0</v>
      </c>
      <c r="DR130" s="354">
        <v>0</v>
      </c>
      <c r="DS130" s="354">
        <v>0</v>
      </c>
      <c r="DT130" s="354">
        <v>0</v>
      </c>
      <c r="DU130" s="354">
        <v>0</v>
      </c>
      <c r="DV130" s="354">
        <v>0</v>
      </c>
      <c r="DW130" s="543">
        <f t="shared" si="17"/>
        <v>3345.3970369999997</v>
      </c>
      <c r="DX130" s="858">
        <f>DW130+DW131+DW132</f>
        <v>3345.3970369999997</v>
      </c>
      <c r="DY130" s="707">
        <f>+DX130*1000000</f>
        <v>3345397036.9999995</v>
      </c>
      <c r="DZ130" s="665">
        <f>+DY130-D130</f>
        <v>0</v>
      </c>
      <c r="EA130" s="873">
        <f>VLOOKUP(POA!$B130,'Detalle Plan de Adquisiciones'!$G$6:$AF$66,23,0)</f>
        <v>42658</v>
      </c>
      <c r="EB130" s="859">
        <f>VLOOKUP(POA!$B130,'Detalle Plan de Adquisiciones'!$G$6:$AF$66,25,0)</f>
        <v>42840</v>
      </c>
      <c r="EC130" s="859">
        <f>EB130+30</f>
        <v>42870</v>
      </c>
      <c r="ED130" s="859" t="str">
        <f>CONCATENATE(MONTH(EA130),"-",YEAR(EA130))</f>
        <v>10-2016</v>
      </c>
      <c r="EE130" s="859" t="str">
        <f>CONCATENATE(MONTH(EB130),"-",YEAR(EB130))</f>
        <v>4-2017</v>
      </c>
      <c r="EF130" s="861" t="str">
        <f>CONCATENATE(MONTH(EC130),"-",YEAR(EC130))</f>
        <v>5-2017</v>
      </c>
      <c r="EG130" s="1105">
        <f>+YEAR(EA130)</f>
        <v>2016</v>
      </c>
      <c r="EH130" s="393">
        <f>+DY130</f>
        <v>3345397036.9999995</v>
      </c>
      <c r="EI130" s="858">
        <f>+DW130+DW131+DW132</f>
        <v>3345.3970369999997</v>
      </c>
      <c r="EJ130" s="877">
        <f>+D130/1000000-EI130</f>
        <v>0</v>
      </c>
      <c r="EL130" s="585"/>
      <c r="EM130" s="419"/>
      <c r="EN130" s="419"/>
      <c r="ER130" s="497"/>
    </row>
    <row r="131" spans="1:148" s="278" customFormat="1" ht="37.5" customHeight="1" outlineLevel="2" x14ac:dyDescent="0.2">
      <c r="A131" s="971"/>
      <c r="B131" s="974"/>
      <c r="C131" s="980"/>
      <c r="D131" s="1022"/>
      <c r="E131" s="1011"/>
      <c r="F131" s="311" t="s">
        <v>210</v>
      </c>
      <c r="G131" s="363">
        <v>0</v>
      </c>
      <c r="H131" s="363">
        <v>0</v>
      </c>
      <c r="I131" s="363">
        <v>0</v>
      </c>
      <c r="J131" s="363">
        <v>0</v>
      </c>
      <c r="K131" s="363">
        <v>0</v>
      </c>
      <c r="L131" s="363">
        <v>0</v>
      </c>
      <c r="M131" s="363">
        <v>0</v>
      </c>
      <c r="N131" s="363">
        <v>0</v>
      </c>
      <c r="O131" s="363">
        <v>0</v>
      </c>
      <c r="P131" s="363">
        <v>0</v>
      </c>
      <c r="Q131" s="363">
        <v>0</v>
      </c>
      <c r="R131" s="363">
        <v>0</v>
      </c>
      <c r="S131" s="363">
        <v>0</v>
      </c>
      <c r="T131" s="363">
        <v>0</v>
      </c>
      <c r="U131" s="363">
        <v>0</v>
      </c>
      <c r="V131" s="363">
        <v>0</v>
      </c>
      <c r="W131" s="363">
        <v>0</v>
      </c>
      <c r="X131" s="363">
        <v>0</v>
      </c>
      <c r="Y131" s="363">
        <v>0</v>
      </c>
      <c r="Z131" s="363">
        <v>0</v>
      </c>
      <c r="AA131" s="363">
        <v>0</v>
      </c>
      <c r="AB131" s="363">
        <v>0</v>
      </c>
      <c r="AC131" s="363">
        <v>0</v>
      </c>
      <c r="AD131" s="363">
        <v>0</v>
      </c>
      <c r="AE131" s="363">
        <v>0</v>
      </c>
      <c r="AF131" s="363">
        <v>0</v>
      </c>
      <c r="AG131" s="363">
        <v>0</v>
      </c>
      <c r="AH131" s="363">
        <v>0</v>
      </c>
      <c r="AI131" s="363">
        <v>0</v>
      </c>
      <c r="AJ131" s="363">
        <v>0</v>
      </c>
      <c r="AK131" s="363">
        <v>0</v>
      </c>
      <c r="AL131" s="363">
        <v>0</v>
      </c>
      <c r="AM131" s="363">
        <v>0</v>
      </c>
      <c r="AN131" s="363">
        <v>0</v>
      </c>
      <c r="AO131" s="363">
        <v>0</v>
      </c>
      <c r="AP131" s="363">
        <v>0</v>
      </c>
      <c r="AQ131" s="363">
        <v>0</v>
      </c>
      <c r="AR131" s="363">
        <v>0</v>
      </c>
      <c r="AS131" s="363">
        <v>0</v>
      </c>
      <c r="AT131" s="363">
        <v>0</v>
      </c>
      <c r="AU131" s="363">
        <v>0</v>
      </c>
      <c r="AV131" s="363">
        <v>0</v>
      </c>
      <c r="AW131" s="363">
        <v>0</v>
      </c>
      <c r="AX131" s="363">
        <v>0</v>
      </c>
      <c r="AY131" s="363">
        <v>0</v>
      </c>
      <c r="AZ131" s="363">
        <v>0</v>
      </c>
      <c r="BA131" s="363">
        <v>0</v>
      </c>
      <c r="BB131" s="363">
        <v>0</v>
      </c>
      <c r="BC131" s="363">
        <v>0</v>
      </c>
      <c r="BD131" s="363">
        <v>0</v>
      </c>
      <c r="BE131" s="363">
        <v>0</v>
      </c>
      <c r="BF131" s="363">
        <v>0</v>
      </c>
      <c r="BG131" s="363">
        <v>0</v>
      </c>
      <c r="BH131" s="363">
        <v>0</v>
      </c>
      <c r="BI131" s="363">
        <v>0</v>
      </c>
      <c r="BJ131" s="363">
        <v>0</v>
      </c>
      <c r="BK131" s="363">
        <v>0</v>
      </c>
      <c r="BL131" s="363">
        <v>0</v>
      </c>
      <c r="BM131" s="363">
        <v>0</v>
      </c>
      <c r="BN131" s="363">
        <v>0</v>
      </c>
      <c r="BO131" s="363">
        <v>0</v>
      </c>
      <c r="BP131" s="363">
        <v>0</v>
      </c>
      <c r="BQ131" s="363">
        <v>0</v>
      </c>
      <c r="BR131" s="363">
        <v>0</v>
      </c>
      <c r="BS131" s="363">
        <v>0</v>
      </c>
      <c r="BT131" s="363">
        <v>0</v>
      </c>
      <c r="BU131" s="363">
        <v>0</v>
      </c>
      <c r="BV131" s="363">
        <v>0</v>
      </c>
      <c r="BW131" s="363">
        <v>0</v>
      </c>
      <c r="BX131" s="363">
        <v>0</v>
      </c>
      <c r="BY131" s="363">
        <v>0</v>
      </c>
      <c r="BZ131" s="363">
        <v>0</v>
      </c>
      <c r="CA131" s="363">
        <v>0</v>
      </c>
      <c r="CB131" s="363">
        <v>0</v>
      </c>
      <c r="CC131" s="363">
        <v>0</v>
      </c>
      <c r="CD131" s="363">
        <v>0</v>
      </c>
      <c r="CE131" s="363">
        <v>0</v>
      </c>
      <c r="CF131" s="363">
        <v>0</v>
      </c>
      <c r="CG131" s="363">
        <v>0</v>
      </c>
      <c r="CH131" s="363">
        <v>0</v>
      </c>
      <c r="CI131" s="363">
        <v>0</v>
      </c>
      <c r="CJ131" s="363">
        <v>0</v>
      </c>
      <c r="CK131" s="363">
        <v>0</v>
      </c>
      <c r="CL131" s="363">
        <v>0</v>
      </c>
      <c r="CM131" s="363"/>
      <c r="CN131" s="363"/>
      <c r="CO131" s="363"/>
      <c r="CP131" s="363"/>
      <c r="CQ131" s="363"/>
      <c r="CR131" s="363">
        <v>0</v>
      </c>
      <c r="CS131" s="363"/>
      <c r="CT131" s="363">
        <v>0</v>
      </c>
      <c r="CU131" s="363">
        <v>0</v>
      </c>
      <c r="CV131" s="363">
        <v>0</v>
      </c>
      <c r="CW131" s="363">
        <v>0</v>
      </c>
      <c r="CX131" s="363">
        <v>0</v>
      </c>
      <c r="CY131" s="363">
        <v>0</v>
      </c>
      <c r="CZ131" s="363">
        <v>0</v>
      </c>
      <c r="DA131" s="363">
        <v>0</v>
      </c>
      <c r="DB131" s="363">
        <v>0</v>
      </c>
      <c r="DC131" s="363">
        <v>0</v>
      </c>
      <c r="DD131" s="363">
        <v>0</v>
      </c>
      <c r="DE131" s="363">
        <v>0</v>
      </c>
      <c r="DF131" s="363">
        <v>0</v>
      </c>
      <c r="DG131" s="363">
        <v>0</v>
      </c>
      <c r="DH131" s="363">
        <v>0</v>
      </c>
      <c r="DI131" s="363">
        <v>0</v>
      </c>
      <c r="DJ131" s="363">
        <v>0</v>
      </c>
      <c r="DK131" s="363">
        <v>0</v>
      </c>
      <c r="DL131" s="363">
        <v>0</v>
      </c>
      <c r="DM131" s="363">
        <v>0</v>
      </c>
      <c r="DN131" s="363">
        <v>0</v>
      </c>
      <c r="DO131" s="363">
        <v>0</v>
      </c>
      <c r="DP131" s="363">
        <v>0</v>
      </c>
      <c r="DQ131" s="363">
        <v>0</v>
      </c>
      <c r="DR131" s="363">
        <v>0</v>
      </c>
      <c r="DS131" s="363">
        <v>0</v>
      </c>
      <c r="DT131" s="363">
        <v>0</v>
      </c>
      <c r="DU131" s="363">
        <v>0</v>
      </c>
      <c r="DV131" s="363">
        <v>0</v>
      </c>
      <c r="DW131" s="544">
        <f t="shared" si="17"/>
        <v>0</v>
      </c>
      <c r="DX131" s="858"/>
      <c r="DY131" s="705"/>
      <c r="DZ131" s="554"/>
      <c r="EA131" s="873"/>
      <c r="EB131" s="859"/>
      <c r="EC131" s="859"/>
      <c r="ED131" s="859"/>
      <c r="EE131" s="859"/>
      <c r="EF131" s="861"/>
      <c r="EG131" s="1106"/>
      <c r="EI131" s="858"/>
      <c r="EJ131" s="877"/>
      <c r="ER131" s="497"/>
    </row>
    <row r="132" spans="1:148" s="278" customFormat="1" ht="37.5" customHeight="1" outlineLevel="2" thickBot="1" x14ac:dyDescent="0.25">
      <c r="A132" s="972"/>
      <c r="B132" s="975"/>
      <c r="C132" s="1029"/>
      <c r="D132" s="1023"/>
      <c r="E132" s="1024"/>
      <c r="F132" s="315" t="s">
        <v>211</v>
      </c>
      <c r="G132" s="387">
        <v>0</v>
      </c>
      <c r="H132" s="387">
        <v>0</v>
      </c>
      <c r="I132" s="387">
        <v>0</v>
      </c>
      <c r="J132" s="387">
        <v>0</v>
      </c>
      <c r="K132" s="387">
        <v>0</v>
      </c>
      <c r="L132" s="387">
        <v>0</v>
      </c>
      <c r="M132" s="387">
        <v>0</v>
      </c>
      <c r="N132" s="387">
        <v>0</v>
      </c>
      <c r="O132" s="387">
        <v>0</v>
      </c>
      <c r="P132" s="387">
        <v>0</v>
      </c>
      <c r="Q132" s="387">
        <v>0</v>
      </c>
      <c r="R132" s="387">
        <v>0</v>
      </c>
      <c r="S132" s="387">
        <v>0</v>
      </c>
      <c r="T132" s="387">
        <v>0</v>
      </c>
      <c r="U132" s="387">
        <v>0</v>
      </c>
      <c r="V132" s="387">
        <v>0</v>
      </c>
      <c r="W132" s="387">
        <v>0</v>
      </c>
      <c r="X132" s="387">
        <v>0</v>
      </c>
      <c r="Y132" s="387">
        <v>0</v>
      </c>
      <c r="Z132" s="387">
        <v>0</v>
      </c>
      <c r="AA132" s="387">
        <v>0</v>
      </c>
      <c r="AB132" s="387">
        <v>0</v>
      </c>
      <c r="AC132" s="387">
        <v>0</v>
      </c>
      <c r="AD132" s="387">
        <v>0</v>
      </c>
      <c r="AE132" s="387">
        <v>0</v>
      </c>
      <c r="AF132" s="387">
        <v>0</v>
      </c>
      <c r="AG132" s="387">
        <v>0</v>
      </c>
      <c r="AH132" s="387">
        <v>0</v>
      </c>
      <c r="AI132" s="387">
        <v>0</v>
      </c>
      <c r="AJ132" s="387">
        <v>0</v>
      </c>
      <c r="AK132" s="387">
        <v>0</v>
      </c>
      <c r="AL132" s="387">
        <v>0</v>
      </c>
      <c r="AM132" s="387">
        <v>0</v>
      </c>
      <c r="AN132" s="387">
        <v>0</v>
      </c>
      <c r="AO132" s="387">
        <v>0</v>
      </c>
      <c r="AP132" s="387">
        <v>0</v>
      </c>
      <c r="AQ132" s="387">
        <v>0</v>
      </c>
      <c r="AR132" s="387">
        <v>0</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c r="BP132" s="387">
        <v>0</v>
      </c>
      <c r="BQ132" s="387">
        <v>0</v>
      </c>
      <c r="BR132" s="387">
        <v>0</v>
      </c>
      <c r="BS132" s="387">
        <v>0</v>
      </c>
      <c r="BT132" s="387">
        <v>0</v>
      </c>
      <c r="BU132" s="387">
        <v>0</v>
      </c>
      <c r="BV132" s="387">
        <v>0</v>
      </c>
      <c r="BW132" s="387">
        <v>0</v>
      </c>
      <c r="BX132" s="387">
        <v>0</v>
      </c>
      <c r="BY132" s="387">
        <v>0</v>
      </c>
      <c r="BZ132" s="387">
        <v>0</v>
      </c>
      <c r="CA132" s="387">
        <v>0</v>
      </c>
      <c r="CB132" s="387">
        <v>0</v>
      </c>
      <c r="CC132" s="387">
        <v>0</v>
      </c>
      <c r="CD132" s="387">
        <v>0</v>
      </c>
      <c r="CE132" s="387">
        <v>0</v>
      </c>
      <c r="CF132" s="387">
        <v>0</v>
      </c>
      <c r="CG132" s="387">
        <v>0</v>
      </c>
      <c r="CH132" s="387">
        <v>0</v>
      </c>
      <c r="CI132" s="387">
        <v>0</v>
      </c>
      <c r="CJ132" s="387">
        <v>0</v>
      </c>
      <c r="CK132" s="387">
        <v>0</v>
      </c>
      <c r="CL132" s="387">
        <v>0</v>
      </c>
      <c r="CM132" s="387"/>
      <c r="CN132" s="387">
        <v>0</v>
      </c>
      <c r="CO132" s="387">
        <v>0</v>
      </c>
      <c r="CP132" s="387">
        <v>0</v>
      </c>
      <c r="CQ132" s="387"/>
      <c r="CR132" s="387">
        <v>0</v>
      </c>
      <c r="CS132" s="387">
        <v>0</v>
      </c>
      <c r="CT132" s="387">
        <v>0</v>
      </c>
      <c r="CU132" s="387">
        <v>0</v>
      </c>
      <c r="CV132" s="387">
        <v>0</v>
      </c>
      <c r="CW132" s="387">
        <v>0</v>
      </c>
      <c r="CX132" s="387">
        <v>0</v>
      </c>
      <c r="CY132" s="387">
        <v>0</v>
      </c>
      <c r="CZ132" s="387">
        <v>0</v>
      </c>
      <c r="DA132" s="387">
        <v>0</v>
      </c>
      <c r="DB132" s="387">
        <v>0</v>
      </c>
      <c r="DC132" s="387">
        <v>0</v>
      </c>
      <c r="DD132" s="387">
        <v>0</v>
      </c>
      <c r="DE132" s="387">
        <v>0</v>
      </c>
      <c r="DF132" s="387">
        <v>0</v>
      </c>
      <c r="DG132" s="387">
        <v>0</v>
      </c>
      <c r="DH132" s="387">
        <v>0</v>
      </c>
      <c r="DI132" s="387">
        <v>0</v>
      </c>
      <c r="DJ132" s="387">
        <v>0</v>
      </c>
      <c r="DK132" s="387">
        <v>0</v>
      </c>
      <c r="DL132" s="387">
        <v>0</v>
      </c>
      <c r="DM132" s="387">
        <v>0</v>
      </c>
      <c r="DN132" s="387">
        <v>0</v>
      </c>
      <c r="DO132" s="387">
        <v>0</v>
      </c>
      <c r="DP132" s="387">
        <v>0</v>
      </c>
      <c r="DQ132" s="387">
        <v>0</v>
      </c>
      <c r="DR132" s="387">
        <v>0</v>
      </c>
      <c r="DS132" s="387">
        <v>0</v>
      </c>
      <c r="DT132" s="387">
        <v>0</v>
      </c>
      <c r="DU132" s="387">
        <v>0</v>
      </c>
      <c r="DV132" s="387">
        <v>0</v>
      </c>
      <c r="DW132" s="545">
        <f t="shared" si="17"/>
        <v>0</v>
      </c>
      <c r="DX132" s="858"/>
      <c r="DY132" s="706"/>
      <c r="DZ132" s="554"/>
      <c r="EA132" s="873"/>
      <c r="EB132" s="859"/>
      <c r="EC132" s="859"/>
      <c r="ED132" s="859"/>
      <c r="EE132" s="859"/>
      <c r="EF132" s="861"/>
      <c r="EG132" s="1107"/>
      <c r="EI132" s="858"/>
      <c r="EJ132" s="877"/>
      <c r="ER132" s="497"/>
    </row>
    <row r="133" spans="1:148" s="278" customFormat="1" ht="35.25" customHeight="1" outlineLevel="2" x14ac:dyDescent="0.2">
      <c r="A133" s="970" t="s">
        <v>591</v>
      </c>
      <c r="B133" s="973" t="s">
        <v>575</v>
      </c>
      <c r="C133" s="979">
        <v>7</v>
      </c>
      <c r="D133" s="1021">
        <f>+IFERROR(VLOOKUP(B133,'Detalle Plan de Adquisiciones'!$G$53:$L$153,6,FALSE),0)</f>
        <v>234177793</v>
      </c>
      <c r="E133" s="1010" t="str">
        <f>+'Detalle Plan de Adquisiciones'!F118</f>
        <v>INTERVENTORÍA TÉCNICA, ADMINISTRATIVA, FINANCIERA Y AMBIENTAL AL CONTRATO CUYO OBJETO ES LA REHABILITACIÓN DEL PAVIMENTO RÍGIDO Y ANDENES DE LA CARRERA 16 ENTRE CALLE 24 Y CALLE 27 (ID 81), CALLE 27 ENTRE AVENIDA CIRCUNVALAR Y CARRERA 15A (ID 83), CALLE 12C ENTRE CARRERA 9 Y AVENIDA CIRCUNVALAR (ID 96), CALLE 43 ENTRE CARRERA 5 Y CARRERA 4 (ID 123),  CARRERA 5 ENTRE CALLE 41 Y CALLE 43 (ID 124) Y LA CONSTRUCCIÓN DE UN PUENTE PEATONAL, ID [PP - 3]; UBICADO EN LA CALLE 41 CON CALLE 29 (TERMINAL DE TRANSPORTE). PERTENECIENTE AL SISTEMA ESTRATÉGICO DE TRANSPORTE PUBLICO "SETP" DE LA CIUDAD DE MONTERÍA.</v>
      </c>
      <c r="F133" s="312" t="s">
        <v>410</v>
      </c>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c r="AP133" s="354"/>
      <c r="AQ133" s="354"/>
      <c r="AR133" s="354"/>
      <c r="AS133" s="354"/>
      <c r="AT133" s="354"/>
      <c r="AU133" s="354"/>
      <c r="AV133" s="354"/>
      <c r="AW133" s="354"/>
      <c r="AX133" s="354"/>
      <c r="AY133" s="354"/>
      <c r="AZ133" s="354"/>
      <c r="BA133" s="354"/>
      <c r="BB133" s="354"/>
      <c r="BC133" s="354"/>
      <c r="BD133" s="354"/>
      <c r="BE133" s="354"/>
      <c r="BF133" s="354"/>
      <c r="BG133" s="354"/>
      <c r="BH133" s="354"/>
      <c r="BI133" s="354"/>
      <c r="BJ133" s="354"/>
      <c r="BK133" s="354"/>
      <c r="BL133" s="354"/>
      <c r="BM133" s="354"/>
      <c r="BN133" s="354"/>
      <c r="BO133" s="354"/>
      <c r="BP133" s="354"/>
      <c r="BQ133" s="354"/>
      <c r="BR133" s="354"/>
      <c r="BS133" s="354"/>
      <c r="BT133" s="354"/>
      <c r="BU133" s="354"/>
      <c r="BV133" s="354"/>
      <c r="BW133" s="354"/>
      <c r="BX133" s="354"/>
      <c r="BY133" s="354"/>
      <c r="BZ133" s="354"/>
      <c r="CA133" s="560"/>
      <c r="CB133" s="560"/>
      <c r="CC133" s="560"/>
      <c r="CD133" s="560"/>
      <c r="CE133" s="560"/>
      <c r="CF133" s="560"/>
      <c r="CG133" s="560"/>
      <c r="CH133" s="560"/>
      <c r="CI133" s="598"/>
      <c r="CJ133" s="598"/>
      <c r="CK133" s="599">
        <v>0</v>
      </c>
      <c r="CL133" s="599">
        <v>0</v>
      </c>
      <c r="CM133" s="354">
        <v>0</v>
      </c>
      <c r="CN133" s="354">
        <v>0</v>
      </c>
      <c r="CO133" s="354">
        <v>0</v>
      </c>
      <c r="CP133" s="354">
        <v>0</v>
      </c>
      <c r="CQ133" s="354">
        <v>0</v>
      </c>
      <c r="CR133" s="354">
        <v>0</v>
      </c>
      <c r="CS133" s="354">
        <v>0</v>
      </c>
      <c r="CT133" s="354">
        <v>0</v>
      </c>
      <c r="CU133" s="354">
        <v>0</v>
      </c>
      <c r="CV133" s="354">
        <v>0</v>
      </c>
      <c r="CW133" s="354">
        <v>0</v>
      </c>
      <c r="CX133" s="354">
        <v>0</v>
      </c>
      <c r="CY133" s="354"/>
      <c r="CZ133" s="354"/>
      <c r="DA133" s="354"/>
      <c r="DB133" s="354"/>
      <c r="DC133" s="354"/>
      <c r="DD133" s="354"/>
      <c r="DE133" s="354"/>
      <c r="DF133" s="354"/>
      <c r="DG133" s="354"/>
      <c r="DH133" s="354"/>
      <c r="DI133" s="354"/>
      <c r="DJ133" s="354"/>
      <c r="DK133" s="354"/>
      <c r="DL133" s="354"/>
      <c r="DM133" s="354"/>
      <c r="DN133" s="354"/>
      <c r="DO133" s="354"/>
      <c r="DP133" s="354"/>
      <c r="DQ133" s="354"/>
      <c r="DR133" s="354"/>
      <c r="DS133" s="354"/>
      <c r="DT133" s="354"/>
      <c r="DU133" s="354"/>
      <c r="DV133" s="354"/>
      <c r="DW133" s="543">
        <f t="shared" si="17"/>
        <v>0</v>
      </c>
      <c r="DX133" s="858">
        <f>DW133+DW134+DW135</f>
        <v>234.17779300000001</v>
      </c>
      <c r="DY133" s="704">
        <f>+DX133*1000000</f>
        <v>234177793</v>
      </c>
      <c r="DZ133" s="870">
        <f>+DY133-D133</f>
        <v>0</v>
      </c>
      <c r="EA133" s="593"/>
      <c r="EB133" s="594"/>
      <c r="EC133" s="594"/>
      <c r="ED133" s="594"/>
      <c r="EE133" s="594"/>
      <c r="EF133" s="592"/>
      <c r="EG133" s="596"/>
      <c r="EI133" s="591"/>
      <c r="EJ133" s="595"/>
      <c r="ER133" s="497"/>
    </row>
    <row r="134" spans="1:148" s="278" customFormat="1" ht="20.25" customHeight="1" outlineLevel="2" x14ac:dyDescent="0.2">
      <c r="A134" s="971"/>
      <c r="B134" s="974"/>
      <c r="C134" s="980"/>
      <c r="D134" s="1022"/>
      <c r="E134" s="1011"/>
      <c r="F134" s="311" t="s">
        <v>210</v>
      </c>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3"/>
      <c r="AY134" s="363"/>
      <c r="AZ134" s="363"/>
      <c r="BA134" s="363"/>
      <c r="BB134" s="363"/>
      <c r="BC134" s="363"/>
      <c r="BD134" s="363"/>
      <c r="BE134" s="363"/>
      <c r="BF134" s="363"/>
      <c r="BG134" s="363"/>
      <c r="BH134" s="363"/>
      <c r="BI134" s="363"/>
      <c r="BJ134" s="363"/>
      <c r="BK134" s="363"/>
      <c r="BL134" s="363"/>
      <c r="BM134" s="363"/>
      <c r="BN134" s="363"/>
      <c r="BO134" s="363"/>
      <c r="BP134" s="363"/>
      <c r="BQ134" s="363"/>
      <c r="BR134" s="363"/>
      <c r="BS134" s="363"/>
      <c r="BT134" s="363"/>
      <c r="BU134" s="363"/>
      <c r="BV134" s="363"/>
      <c r="BW134" s="363"/>
      <c r="BX134" s="363"/>
      <c r="BY134" s="363"/>
      <c r="BZ134" s="363"/>
      <c r="CA134" s="363"/>
      <c r="CB134" s="363"/>
      <c r="CC134" s="363"/>
      <c r="CD134" s="363"/>
      <c r="CE134" s="363"/>
      <c r="CF134" s="363"/>
      <c r="CG134" s="363"/>
      <c r="CH134" s="363"/>
      <c r="CI134" s="363"/>
      <c r="CJ134" s="363"/>
      <c r="CK134" s="363"/>
      <c r="CL134" s="363"/>
      <c r="CM134" s="363"/>
      <c r="CN134" s="363"/>
      <c r="CO134" s="363"/>
      <c r="CP134" s="363"/>
      <c r="CQ134" s="363"/>
      <c r="CR134" s="363">
        <v>0</v>
      </c>
      <c r="CS134" s="363">
        <v>0</v>
      </c>
      <c r="CT134" s="363"/>
      <c r="CU134" s="363"/>
      <c r="CV134" s="363"/>
      <c r="CW134" s="363"/>
      <c r="CX134" s="363"/>
      <c r="CY134" s="363"/>
      <c r="CZ134" s="363"/>
      <c r="DA134" s="363"/>
      <c r="DB134" s="363"/>
      <c r="DC134" s="363"/>
      <c r="DD134" s="363"/>
      <c r="DE134" s="363"/>
      <c r="DF134" s="363"/>
      <c r="DG134" s="363"/>
      <c r="DH134" s="363"/>
      <c r="DI134" s="363"/>
      <c r="DJ134" s="363"/>
      <c r="DK134" s="363"/>
      <c r="DL134" s="363"/>
      <c r="DM134" s="363"/>
      <c r="DN134" s="363"/>
      <c r="DO134" s="363"/>
      <c r="DP134" s="363"/>
      <c r="DQ134" s="363"/>
      <c r="DR134" s="363"/>
      <c r="DS134" s="363"/>
      <c r="DT134" s="363"/>
      <c r="DU134" s="363"/>
      <c r="DV134" s="363"/>
      <c r="DW134" s="544">
        <f t="shared" si="17"/>
        <v>0</v>
      </c>
      <c r="DX134" s="858"/>
      <c r="DY134" s="705"/>
      <c r="DZ134" s="871"/>
      <c r="EA134" s="593"/>
      <c r="EB134" s="594"/>
      <c r="EC134" s="594"/>
      <c r="ED134" s="594"/>
      <c r="EE134" s="594"/>
      <c r="EF134" s="592"/>
      <c r="EG134" s="596"/>
      <c r="EI134" s="591"/>
      <c r="EJ134" s="595"/>
      <c r="ER134" s="497"/>
    </row>
    <row r="135" spans="1:148" s="278" customFormat="1" ht="15" customHeight="1" outlineLevel="2" thickBot="1" x14ac:dyDescent="0.25">
      <c r="A135" s="972"/>
      <c r="B135" s="975"/>
      <c r="C135" s="981"/>
      <c r="D135" s="1023"/>
      <c r="E135" s="1012"/>
      <c r="F135" s="313" t="s">
        <v>211</v>
      </c>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87"/>
      <c r="CC135" s="387"/>
      <c r="CD135" s="387"/>
      <c r="CE135" s="387"/>
      <c r="CF135" s="387"/>
      <c r="CG135" s="387"/>
      <c r="CH135" s="387"/>
      <c r="CI135" s="387"/>
      <c r="CJ135" s="387"/>
      <c r="CK135" s="387"/>
      <c r="CL135" s="387"/>
      <c r="CM135" s="387">
        <v>0</v>
      </c>
      <c r="CN135" s="387">
        <v>0</v>
      </c>
      <c r="CO135" s="387">
        <v>0</v>
      </c>
      <c r="CP135" s="387">
        <v>0</v>
      </c>
      <c r="CR135" s="387">
        <v>96.363161000000005</v>
      </c>
      <c r="CS135" s="668">
        <v>0</v>
      </c>
      <c r="CT135" s="387">
        <v>64.242107000000004</v>
      </c>
      <c r="CU135" s="387">
        <v>0</v>
      </c>
      <c r="CV135" s="387">
        <v>73.572524999999999</v>
      </c>
      <c r="CW135" s="387"/>
      <c r="CX135" s="387"/>
      <c r="CY135" s="387"/>
      <c r="CZ135" s="387"/>
      <c r="DA135" s="387"/>
      <c r="DB135" s="387"/>
      <c r="DC135" s="387"/>
      <c r="DD135" s="387"/>
      <c r="DE135" s="387"/>
      <c r="DF135" s="387"/>
      <c r="DG135" s="387"/>
      <c r="DH135" s="387"/>
      <c r="DI135" s="387"/>
      <c r="DJ135" s="387"/>
      <c r="DK135" s="387"/>
      <c r="DL135" s="387"/>
      <c r="DM135" s="387"/>
      <c r="DN135" s="387"/>
      <c r="DO135" s="387"/>
      <c r="DP135" s="387"/>
      <c r="DQ135" s="387"/>
      <c r="DR135" s="387"/>
      <c r="DS135" s="387"/>
      <c r="DT135" s="387"/>
      <c r="DU135" s="387"/>
      <c r="DV135" s="387"/>
      <c r="DW135" s="545">
        <f t="shared" si="17"/>
        <v>234.17779300000001</v>
      </c>
      <c r="DX135" s="858"/>
      <c r="DY135" s="706"/>
      <c r="DZ135" s="872"/>
      <c r="EA135" s="593"/>
      <c r="EB135" s="594"/>
      <c r="EC135" s="594"/>
      <c r="ED135" s="594"/>
      <c r="EE135" s="594"/>
      <c r="EF135" s="592"/>
      <c r="EG135" s="596"/>
      <c r="EI135" s="591"/>
      <c r="EJ135" s="595"/>
      <c r="ER135" s="497"/>
    </row>
    <row r="136" spans="1:148" s="278" customFormat="1" ht="17.25" customHeight="1" outlineLevel="2" x14ac:dyDescent="0.2">
      <c r="A136" s="982" t="s">
        <v>571</v>
      </c>
      <c r="B136" s="976">
        <v>204</v>
      </c>
      <c r="C136" s="965">
        <v>6</v>
      </c>
      <c r="D136" s="960">
        <f>+IFERROR(VLOOKUP(B136,'Detalle Plan de Adquisiciones'!$G$6:$M$66,7,FALSE),0)</f>
        <v>2517343458</v>
      </c>
      <c r="E136" s="866" t="str">
        <f>+'Detalle Plan de Adquisiciones'!F23</f>
        <v>CONSTRUCCIÓN DEL PAVIMENTO RÍGIDO, ANDENES Y ESPACIO PUBLICO DE LA CARRERA 2 ENTRE LA CALLE 37 Y CALLE 41, ID (204). PERTENECIENTE AL SISTEMA ESTRATÉGICO DE TRANSPORTE PUBLICO "SETP" DE LA CIUDAD DE MONTERÍA.</v>
      </c>
      <c r="F136" s="312" t="s">
        <v>410</v>
      </c>
      <c r="G136" s="354">
        <v>0</v>
      </c>
      <c r="H136" s="354">
        <v>0</v>
      </c>
      <c r="I136" s="354">
        <v>0</v>
      </c>
      <c r="J136" s="354">
        <v>0</v>
      </c>
      <c r="K136" s="354">
        <v>0</v>
      </c>
      <c r="L136" s="354">
        <v>0</v>
      </c>
      <c r="M136" s="354">
        <v>0</v>
      </c>
      <c r="N136" s="354">
        <v>0</v>
      </c>
      <c r="O136" s="354">
        <v>0</v>
      </c>
      <c r="P136" s="354">
        <v>0</v>
      </c>
      <c r="Q136" s="354">
        <v>0</v>
      </c>
      <c r="R136" s="354">
        <v>0</v>
      </c>
      <c r="S136" s="354">
        <v>0</v>
      </c>
      <c r="T136" s="354">
        <v>0</v>
      </c>
      <c r="U136" s="354">
        <v>0</v>
      </c>
      <c r="V136" s="354">
        <v>0</v>
      </c>
      <c r="W136" s="354">
        <v>0</v>
      </c>
      <c r="X136" s="354">
        <v>0</v>
      </c>
      <c r="Y136" s="354">
        <v>0</v>
      </c>
      <c r="Z136" s="354">
        <v>0</v>
      </c>
      <c r="AA136" s="354">
        <v>0</v>
      </c>
      <c r="AB136" s="354">
        <v>0</v>
      </c>
      <c r="AC136" s="354">
        <v>0</v>
      </c>
      <c r="AD136" s="354">
        <v>0</v>
      </c>
      <c r="AE136" s="354">
        <v>0</v>
      </c>
      <c r="AF136" s="354">
        <v>0</v>
      </c>
      <c r="AG136" s="354">
        <v>0</v>
      </c>
      <c r="AH136" s="354">
        <v>0</v>
      </c>
      <c r="AI136" s="354">
        <v>0</v>
      </c>
      <c r="AJ136" s="354">
        <v>0</v>
      </c>
      <c r="AK136" s="354">
        <v>0</v>
      </c>
      <c r="AL136" s="354">
        <v>0</v>
      </c>
      <c r="AM136" s="354">
        <v>0</v>
      </c>
      <c r="AN136" s="354">
        <v>0</v>
      </c>
      <c r="AO136" s="354">
        <v>0</v>
      </c>
      <c r="AP136" s="354">
        <v>0</v>
      </c>
      <c r="AQ136" s="354">
        <v>0</v>
      </c>
      <c r="AR136" s="354">
        <v>0</v>
      </c>
      <c r="AS136" s="354">
        <v>0</v>
      </c>
      <c r="AT136" s="354">
        <v>0</v>
      </c>
      <c r="AU136" s="354">
        <v>0</v>
      </c>
      <c r="AV136" s="354">
        <v>0</v>
      </c>
      <c r="AW136" s="354">
        <v>0</v>
      </c>
      <c r="AX136" s="354">
        <v>0</v>
      </c>
      <c r="AY136" s="354">
        <v>0</v>
      </c>
      <c r="AZ136" s="354">
        <v>0</v>
      </c>
      <c r="BA136" s="354">
        <v>0</v>
      </c>
      <c r="BB136" s="354">
        <v>0</v>
      </c>
      <c r="BC136" s="354">
        <v>0</v>
      </c>
      <c r="BD136" s="354">
        <v>0</v>
      </c>
      <c r="BE136" s="354">
        <v>0</v>
      </c>
      <c r="BF136" s="354">
        <v>0</v>
      </c>
      <c r="BG136" s="354">
        <v>0</v>
      </c>
      <c r="BH136" s="354">
        <v>0</v>
      </c>
      <c r="BI136" s="354">
        <v>0</v>
      </c>
      <c r="BJ136" s="354">
        <v>0</v>
      </c>
      <c r="BK136" s="354">
        <v>0</v>
      </c>
      <c r="BL136" s="354">
        <v>0</v>
      </c>
      <c r="BM136" s="354">
        <v>0</v>
      </c>
      <c r="BN136" s="354">
        <v>0</v>
      </c>
      <c r="BO136" s="354">
        <v>0</v>
      </c>
      <c r="BP136" s="354">
        <v>0</v>
      </c>
      <c r="BQ136" s="354">
        <v>0</v>
      </c>
      <c r="BR136" s="354">
        <v>0</v>
      </c>
      <c r="BS136" s="354">
        <v>0</v>
      </c>
      <c r="BT136" s="354">
        <v>0</v>
      </c>
      <c r="BU136" s="354">
        <v>0</v>
      </c>
      <c r="BV136" s="354">
        <v>0</v>
      </c>
      <c r="BW136" s="354">
        <v>0</v>
      </c>
      <c r="BX136" s="354">
        <v>0</v>
      </c>
      <c r="BY136" s="354">
        <v>0</v>
      </c>
      <c r="BZ136" s="354">
        <v>0</v>
      </c>
      <c r="CA136" s="354">
        <v>0</v>
      </c>
      <c r="CB136" s="354">
        <v>0</v>
      </c>
      <c r="CC136" s="354">
        <v>0</v>
      </c>
      <c r="CD136" s="354">
        <v>0</v>
      </c>
      <c r="CE136" s="354">
        <v>0</v>
      </c>
      <c r="CF136" s="354">
        <v>0</v>
      </c>
      <c r="CG136" s="354">
        <v>0</v>
      </c>
      <c r="CH136" s="354">
        <v>0</v>
      </c>
      <c r="CI136" s="354">
        <v>0</v>
      </c>
      <c r="CJ136" s="354">
        <v>0</v>
      </c>
      <c r="CK136" s="354">
        <v>0</v>
      </c>
      <c r="CL136" s="354">
        <v>0</v>
      </c>
      <c r="CM136" s="354">
        <v>0</v>
      </c>
      <c r="CN136" s="354">
        <v>0</v>
      </c>
      <c r="CO136" s="354">
        <v>0</v>
      </c>
      <c r="CP136" s="354">
        <v>0</v>
      </c>
      <c r="CQ136" s="354">
        <v>0</v>
      </c>
      <c r="CR136" s="354">
        <v>0</v>
      </c>
      <c r="CS136" s="354">
        <v>0</v>
      </c>
      <c r="CT136" s="354">
        <v>0</v>
      </c>
      <c r="CU136" s="354">
        <v>0</v>
      </c>
      <c r="CV136" s="354">
        <v>0</v>
      </c>
      <c r="CW136" s="354"/>
      <c r="CX136" s="354">
        <v>503.46869199999998</v>
      </c>
      <c r="CY136" s="354"/>
      <c r="CZ136" s="354">
        <v>0</v>
      </c>
      <c r="DA136" s="354">
        <v>565.66179899999997</v>
      </c>
      <c r="DB136" s="354">
        <v>0</v>
      </c>
      <c r="DC136" s="354">
        <v>601.91471899999999</v>
      </c>
      <c r="DD136" s="354">
        <v>313.82479000000001</v>
      </c>
      <c r="DF136" s="354"/>
      <c r="DG136" s="354">
        <v>0</v>
      </c>
      <c r="DH136" s="354">
        <v>0</v>
      </c>
      <c r="DI136" s="354">
        <v>0</v>
      </c>
      <c r="DJ136" s="354">
        <v>0</v>
      </c>
      <c r="DK136" s="354">
        <v>0</v>
      </c>
      <c r="DL136" s="354">
        <v>0</v>
      </c>
      <c r="DM136" s="354">
        <v>0</v>
      </c>
      <c r="DN136" s="354">
        <v>0</v>
      </c>
      <c r="DO136" s="354">
        <v>0</v>
      </c>
      <c r="DP136" s="354">
        <v>0</v>
      </c>
      <c r="DQ136" s="354">
        <v>0</v>
      </c>
      <c r="DR136" s="354">
        <v>0</v>
      </c>
      <c r="DS136" s="354">
        <v>0</v>
      </c>
      <c r="DT136" s="354">
        <v>0</v>
      </c>
      <c r="DU136" s="354">
        <v>0</v>
      </c>
      <c r="DV136" s="354">
        <v>0</v>
      </c>
      <c r="DW136" s="688">
        <f>SUM(G136:DV136)</f>
        <v>1984.87</v>
      </c>
      <c r="DX136" s="858">
        <f>DW136+DW137+DW138</f>
        <v>2517.3434579999998</v>
      </c>
      <c r="DY136" s="704">
        <f>+DX136*1000000</f>
        <v>2517343458</v>
      </c>
      <c r="DZ136" s="1026">
        <f>+DY136-D136</f>
        <v>0</v>
      </c>
      <c r="EA136" s="874">
        <f>VLOOKUP(POA!$B136,'Detalle Plan de Adquisiciones'!$G$6:$AF$66,23,0)</f>
        <v>43087</v>
      </c>
      <c r="EB136" s="860">
        <f>VLOOKUP(POA!$B136,'Detalle Plan de Adquisiciones'!$G$6:$AF$66,25,0)</f>
        <v>43269</v>
      </c>
      <c r="EC136" s="860">
        <f>EB136+30</f>
        <v>43299</v>
      </c>
      <c r="ED136" s="860" t="str">
        <f>CONCATENATE(MONTH(EA136),"-",YEAR(EA136))</f>
        <v>12-2017</v>
      </c>
      <c r="EE136" s="860" t="str">
        <f>CONCATENATE(MONTH(EB136),"-",YEAR(EB136))</f>
        <v>6-2018</v>
      </c>
      <c r="EF136" s="862" t="str">
        <f>CONCATENATE(MONTH(EC136),"-",YEAR(EC136))</f>
        <v>7-2018</v>
      </c>
      <c r="EG136" s="1105">
        <f>+YEAR(EA136)</f>
        <v>2017</v>
      </c>
      <c r="EH136" s="393">
        <f>+DY136</f>
        <v>2517343458</v>
      </c>
      <c r="EI136" s="858">
        <f>+DW136+DW137+DW138</f>
        <v>2517.3434579999998</v>
      </c>
      <c r="EJ136" s="877">
        <f>+D136/1000000-EI136</f>
        <v>0</v>
      </c>
      <c r="ER136" s="497"/>
    </row>
    <row r="137" spans="1:148" s="278" customFormat="1" ht="11.25" customHeight="1" outlineLevel="2" x14ac:dyDescent="0.2">
      <c r="A137" s="983"/>
      <c r="B137" s="977"/>
      <c r="C137" s="966"/>
      <c r="D137" s="961"/>
      <c r="E137" s="867"/>
      <c r="F137" s="311" t="s">
        <v>210</v>
      </c>
      <c r="G137" s="363">
        <v>0</v>
      </c>
      <c r="H137" s="363">
        <v>0</v>
      </c>
      <c r="I137" s="363">
        <v>0</v>
      </c>
      <c r="J137" s="363">
        <v>0</v>
      </c>
      <c r="K137" s="363">
        <v>0</v>
      </c>
      <c r="L137" s="363">
        <v>0</v>
      </c>
      <c r="M137" s="363">
        <v>0</v>
      </c>
      <c r="N137" s="363">
        <v>0</v>
      </c>
      <c r="O137" s="363">
        <v>0</v>
      </c>
      <c r="P137" s="363">
        <v>0</v>
      </c>
      <c r="Q137" s="363">
        <v>0</v>
      </c>
      <c r="R137" s="363">
        <v>0</v>
      </c>
      <c r="S137" s="363">
        <v>0</v>
      </c>
      <c r="T137" s="363">
        <v>0</v>
      </c>
      <c r="U137" s="363">
        <v>0</v>
      </c>
      <c r="V137" s="363">
        <v>0</v>
      </c>
      <c r="W137" s="363">
        <v>0</v>
      </c>
      <c r="X137" s="363">
        <v>0</v>
      </c>
      <c r="Y137" s="363">
        <v>0</v>
      </c>
      <c r="Z137" s="363">
        <v>0</v>
      </c>
      <c r="AA137" s="363">
        <v>0</v>
      </c>
      <c r="AB137" s="363">
        <v>0</v>
      </c>
      <c r="AC137" s="363">
        <v>0</v>
      </c>
      <c r="AD137" s="363">
        <v>0</v>
      </c>
      <c r="AE137" s="363">
        <v>0</v>
      </c>
      <c r="AF137" s="363">
        <v>0</v>
      </c>
      <c r="AG137" s="363">
        <v>0</v>
      </c>
      <c r="AH137" s="363">
        <v>0</v>
      </c>
      <c r="AI137" s="363">
        <v>0</v>
      </c>
      <c r="AJ137" s="363">
        <v>0</v>
      </c>
      <c r="AK137" s="363">
        <v>0</v>
      </c>
      <c r="AL137" s="363">
        <v>0</v>
      </c>
      <c r="AM137" s="363">
        <v>0</v>
      </c>
      <c r="AN137" s="363">
        <v>0</v>
      </c>
      <c r="AO137" s="363">
        <v>0</v>
      </c>
      <c r="AP137" s="363">
        <v>0</v>
      </c>
      <c r="AQ137" s="363">
        <v>0</v>
      </c>
      <c r="AR137" s="363">
        <v>0</v>
      </c>
      <c r="AS137" s="363">
        <v>0</v>
      </c>
      <c r="AT137" s="363">
        <v>0</v>
      </c>
      <c r="AU137" s="363">
        <v>0</v>
      </c>
      <c r="AV137" s="363">
        <v>0</v>
      </c>
      <c r="AW137" s="363">
        <v>0</v>
      </c>
      <c r="AX137" s="363">
        <v>0</v>
      </c>
      <c r="AY137" s="363">
        <v>0</v>
      </c>
      <c r="AZ137" s="363">
        <v>0</v>
      </c>
      <c r="BA137" s="363">
        <v>0</v>
      </c>
      <c r="BB137" s="363">
        <v>0</v>
      </c>
      <c r="BC137" s="363">
        <v>0</v>
      </c>
      <c r="BD137" s="363">
        <v>0</v>
      </c>
      <c r="BE137" s="363">
        <v>0</v>
      </c>
      <c r="BF137" s="363">
        <v>0</v>
      </c>
      <c r="BG137" s="363">
        <v>0</v>
      </c>
      <c r="BH137" s="363">
        <v>0</v>
      </c>
      <c r="BI137" s="363">
        <v>0</v>
      </c>
      <c r="BJ137" s="363">
        <v>0</v>
      </c>
      <c r="BK137" s="363">
        <v>0</v>
      </c>
      <c r="BL137" s="363">
        <v>0</v>
      </c>
      <c r="BM137" s="363">
        <v>0</v>
      </c>
      <c r="BN137" s="363">
        <v>0</v>
      </c>
      <c r="BO137" s="363">
        <v>0</v>
      </c>
      <c r="BP137" s="363">
        <v>0</v>
      </c>
      <c r="BQ137" s="363">
        <v>0</v>
      </c>
      <c r="BR137" s="363">
        <v>0</v>
      </c>
      <c r="BS137" s="363">
        <v>0</v>
      </c>
      <c r="BT137" s="363">
        <v>0</v>
      </c>
      <c r="BU137" s="363">
        <v>0</v>
      </c>
      <c r="BV137" s="363">
        <v>0</v>
      </c>
      <c r="BW137" s="363">
        <v>0</v>
      </c>
      <c r="BX137" s="363">
        <v>0</v>
      </c>
      <c r="BY137" s="363">
        <v>0</v>
      </c>
      <c r="BZ137" s="363">
        <v>0</v>
      </c>
      <c r="CA137" s="363">
        <v>0</v>
      </c>
      <c r="CB137" s="363">
        <v>0</v>
      </c>
      <c r="CC137" s="363">
        <v>0</v>
      </c>
      <c r="CD137" s="363">
        <v>0</v>
      </c>
      <c r="CE137" s="363">
        <v>0</v>
      </c>
      <c r="CF137" s="363">
        <v>0</v>
      </c>
      <c r="CG137" s="363">
        <v>0</v>
      </c>
      <c r="CH137" s="363">
        <v>0</v>
      </c>
      <c r="CI137" s="363">
        <v>0</v>
      </c>
      <c r="CJ137" s="363">
        <v>0</v>
      </c>
      <c r="CK137" s="363">
        <v>0</v>
      </c>
      <c r="CL137" s="363">
        <v>0</v>
      </c>
      <c r="CM137" s="363">
        <v>0</v>
      </c>
      <c r="CN137" s="363">
        <v>0</v>
      </c>
      <c r="CO137" s="363">
        <v>0</v>
      </c>
      <c r="CP137" s="363">
        <v>0</v>
      </c>
      <c r="CQ137" s="363">
        <v>0</v>
      </c>
      <c r="CR137" s="363">
        <v>0</v>
      </c>
      <c r="CS137" s="363">
        <v>0</v>
      </c>
      <c r="CT137" s="363">
        <v>0</v>
      </c>
      <c r="CU137" s="363">
        <v>0</v>
      </c>
      <c r="CV137" s="363">
        <v>0</v>
      </c>
      <c r="CW137" s="363">
        <v>0</v>
      </c>
      <c r="CX137" s="363">
        <v>0</v>
      </c>
      <c r="CY137" s="363"/>
      <c r="CZ137" s="363">
        <v>0</v>
      </c>
      <c r="DA137" s="363">
        <v>0</v>
      </c>
      <c r="DB137" s="363">
        <v>0</v>
      </c>
      <c r="DC137" s="363">
        <f>+DB137-DA137</f>
        <v>0</v>
      </c>
      <c r="DD137" s="363">
        <v>0</v>
      </c>
      <c r="DE137" s="363"/>
      <c r="DF137" s="363"/>
      <c r="DG137" s="363">
        <v>0</v>
      </c>
      <c r="DH137" s="363">
        <v>0</v>
      </c>
      <c r="DI137" s="363">
        <v>0</v>
      </c>
      <c r="DJ137" s="363">
        <v>0</v>
      </c>
      <c r="DK137" s="363">
        <v>0</v>
      </c>
      <c r="DL137" s="363">
        <v>0</v>
      </c>
      <c r="DM137" s="363">
        <v>0</v>
      </c>
      <c r="DN137" s="363">
        <v>0</v>
      </c>
      <c r="DO137" s="363">
        <v>0</v>
      </c>
      <c r="DP137" s="363">
        <v>0</v>
      </c>
      <c r="DQ137" s="363">
        <v>0</v>
      </c>
      <c r="DR137" s="363">
        <v>0</v>
      </c>
      <c r="DS137" s="363">
        <v>0</v>
      </c>
      <c r="DT137" s="363">
        <v>0</v>
      </c>
      <c r="DU137" s="363">
        <v>0</v>
      </c>
      <c r="DV137" s="363">
        <v>0</v>
      </c>
      <c r="DW137" s="689">
        <f>SUM(G137:DV137)</f>
        <v>0</v>
      </c>
      <c r="DX137" s="858"/>
      <c r="DY137" s="705"/>
      <c r="DZ137" s="1027"/>
      <c r="EA137" s="895"/>
      <c r="EB137" s="878"/>
      <c r="EC137" s="878"/>
      <c r="ED137" s="878"/>
      <c r="EE137" s="878"/>
      <c r="EF137" s="880"/>
      <c r="EG137" s="1106"/>
      <c r="EI137" s="858"/>
      <c r="EJ137" s="877"/>
      <c r="ER137" s="497"/>
    </row>
    <row r="138" spans="1:148" s="278" customFormat="1" ht="36" customHeight="1" outlineLevel="2" thickBot="1" x14ac:dyDescent="0.25">
      <c r="A138" s="984"/>
      <c r="B138" s="978"/>
      <c r="C138" s="967"/>
      <c r="D138" s="962"/>
      <c r="E138" s="875"/>
      <c r="F138" s="313" t="s">
        <v>211</v>
      </c>
      <c r="G138" s="387">
        <v>0</v>
      </c>
      <c r="H138" s="387">
        <v>0</v>
      </c>
      <c r="I138" s="387">
        <v>0</v>
      </c>
      <c r="J138" s="387">
        <v>0</v>
      </c>
      <c r="K138" s="387">
        <v>0</v>
      </c>
      <c r="L138" s="387">
        <v>0</v>
      </c>
      <c r="M138" s="387">
        <v>0</v>
      </c>
      <c r="N138" s="387">
        <v>0</v>
      </c>
      <c r="O138" s="387">
        <v>0</v>
      </c>
      <c r="P138" s="387">
        <v>0</v>
      </c>
      <c r="Q138" s="387">
        <v>0</v>
      </c>
      <c r="R138" s="387">
        <v>0</v>
      </c>
      <c r="S138" s="387">
        <v>0</v>
      </c>
      <c r="T138" s="387">
        <v>0</v>
      </c>
      <c r="U138" s="387">
        <v>0</v>
      </c>
      <c r="V138" s="387">
        <v>0</v>
      </c>
      <c r="W138" s="387">
        <v>0</v>
      </c>
      <c r="X138" s="387">
        <v>0</v>
      </c>
      <c r="Y138" s="387">
        <v>0</v>
      </c>
      <c r="Z138" s="387">
        <v>0</v>
      </c>
      <c r="AA138" s="387">
        <v>0</v>
      </c>
      <c r="AB138" s="387">
        <v>0</v>
      </c>
      <c r="AC138" s="387">
        <v>0</v>
      </c>
      <c r="AD138" s="387">
        <v>0</v>
      </c>
      <c r="AE138" s="387">
        <v>0</v>
      </c>
      <c r="AF138" s="387">
        <v>0</v>
      </c>
      <c r="AG138" s="387">
        <v>0</v>
      </c>
      <c r="AH138" s="387">
        <v>0</v>
      </c>
      <c r="AI138" s="387">
        <v>0</v>
      </c>
      <c r="AJ138" s="387">
        <v>0</v>
      </c>
      <c r="AK138" s="387">
        <v>0</v>
      </c>
      <c r="AL138" s="387">
        <v>0</v>
      </c>
      <c r="AM138" s="387">
        <v>0</v>
      </c>
      <c r="AN138" s="387">
        <v>0</v>
      </c>
      <c r="AO138" s="387">
        <v>0</v>
      </c>
      <c r="AP138" s="387">
        <v>0</v>
      </c>
      <c r="AQ138" s="387">
        <v>0</v>
      </c>
      <c r="AR138" s="387">
        <v>0</v>
      </c>
      <c r="AS138" s="387">
        <v>0</v>
      </c>
      <c r="AT138" s="387">
        <v>0</v>
      </c>
      <c r="AU138" s="387">
        <v>0</v>
      </c>
      <c r="AV138" s="387">
        <v>0</v>
      </c>
      <c r="AW138" s="387">
        <v>0</v>
      </c>
      <c r="AX138" s="387">
        <v>0</v>
      </c>
      <c r="AY138" s="387">
        <v>0</v>
      </c>
      <c r="AZ138" s="387">
        <v>0</v>
      </c>
      <c r="BA138" s="387">
        <v>0</v>
      </c>
      <c r="BB138" s="387">
        <v>0</v>
      </c>
      <c r="BC138" s="387">
        <v>0</v>
      </c>
      <c r="BD138" s="387">
        <v>0</v>
      </c>
      <c r="BE138" s="387">
        <v>0</v>
      </c>
      <c r="BF138" s="387">
        <v>0</v>
      </c>
      <c r="BG138" s="387">
        <v>0</v>
      </c>
      <c r="BH138" s="387">
        <v>0</v>
      </c>
      <c r="BI138" s="387">
        <v>0</v>
      </c>
      <c r="BJ138" s="387">
        <v>0</v>
      </c>
      <c r="BK138" s="387">
        <v>0</v>
      </c>
      <c r="BL138" s="387">
        <v>0</v>
      </c>
      <c r="BM138" s="387">
        <v>0</v>
      </c>
      <c r="BN138" s="387">
        <v>0</v>
      </c>
      <c r="BO138" s="387">
        <v>0</v>
      </c>
      <c r="BP138" s="387">
        <v>0</v>
      </c>
      <c r="BQ138" s="387">
        <v>0</v>
      </c>
      <c r="BR138" s="387">
        <v>0</v>
      </c>
      <c r="BS138" s="387">
        <v>0</v>
      </c>
      <c r="BT138" s="387">
        <v>0</v>
      </c>
      <c r="BU138" s="387">
        <v>0</v>
      </c>
      <c r="BV138" s="387">
        <v>0</v>
      </c>
      <c r="BW138" s="387">
        <v>0</v>
      </c>
      <c r="BX138" s="387">
        <v>0</v>
      </c>
      <c r="BY138" s="387">
        <v>0</v>
      </c>
      <c r="BZ138" s="387">
        <v>0</v>
      </c>
      <c r="CA138" s="387">
        <v>0</v>
      </c>
      <c r="CB138" s="387">
        <v>0</v>
      </c>
      <c r="CC138" s="387">
        <v>0</v>
      </c>
      <c r="CD138" s="387">
        <v>0</v>
      </c>
      <c r="CE138" s="387">
        <v>0</v>
      </c>
      <c r="CF138" s="387">
        <v>0</v>
      </c>
      <c r="CG138" s="387">
        <v>0</v>
      </c>
      <c r="CH138" s="387">
        <v>0</v>
      </c>
      <c r="CI138" s="387">
        <v>0</v>
      </c>
      <c r="CJ138" s="387">
        <v>0</v>
      </c>
      <c r="CK138" s="387">
        <v>0</v>
      </c>
      <c r="CL138" s="387">
        <v>0</v>
      </c>
      <c r="CM138" s="387">
        <v>0</v>
      </c>
      <c r="CN138" s="387">
        <v>0</v>
      </c>
      <c r="CO138" s="387">
        <v>0</v>
      </c>
      <c r="CP138" s="387">
        <v>0</v>
      </c>
      <c r="CQ138" s="387">
        <v>0</v>
      </c>
      <c r="CR138" s="387">
        <v>0</v>
      </c>
      <c r="CS138" s="387">
        <v>0</v>
      </c>
      <c r="CT138" s="387"/>
      <c r="CU138" s="387"/>
      <c r="CV138" s="387"/>
      <c r="CW138" s="387"/>
      <c r="CX138" s="387"/>
      <c r="CY138" s="387"/>
      <c r="CZ138" s="387"/>
      <c r="DA138" s="387"/>
      <c r="DC138" s="278">
        <v>0</v>
      </c>
      <c r="DD138" s="387">
        <v>330.98403999999999</v>
      </c>
      <c r="DE138" s="387"/>
      <c r="DF138" s="387">
        <v>201.48941800000006</v>
      </c>
      <c r="DG138" s="387">
        <v>0</v>
      </c>
      <c r="DH138" s="387">
        <v>0</v>
      </c>
      <c r="DI138" s="387">
        <v>0</v>
      </c>
      <c r="DJ138" s="387">
        <v>0</v>
      </c>
      <c r="DK138" s="387">
        <v>0</v>
      </c>
      <c r="DL138" s="387">
        <v>0</v>
      </c>
      <c r="DM138" s="387">
        <v>0</v>
      </c>
      <c r="DN138" s="387">
        <v>0</v>
      </c>
      <c r="DO138" s="387">
        <v>0</v>
      </c>
      <c r="DP138" s="387">
        <v>0</v>
      </c>
      <c r="DQ138" s="387">
        <v>0</v>
      </c>
      <c r="DR138" s="387">
        <v>0</v>
      </c>
      <c r="DS138" s="387">
        <v>0</v>
      </c>
      <c r="DT138" s="387">
        <v>0</v>
      </c>
      <c r="DU138" s="387">
        <v>0</v>
      </c>
      <c r="DV138" s="387">
        <v>0</v>
      </c>
      <c r="DW138" s="690">
        <f>SUM(G138:DV138)</f>
        <v>532.47345800000005</v>
      </c>
      <c r="DX138" s="858"/>
      <c r="DY138" s="706"/>
      <c r="DZ138" s="1028"/>
      <c r="EA138" s="896"/>
      <c r="EB138" s="879"/>
      <c r="EC138" s="879"/>
      <c r="ED138" s="879"/>
      <c r="EE138" s="879"/>
      <c r="EF138" s="881"/>
      <c r="EG138" s="1107"/>
      <c r="EI138" s="858"/>
      <c r="EJ138" s="877"/>
      <c r="ER138" s="497"/>
    </row>
    <row r="139" spans="1:148" s="278" customFormat="1" ht="12" customHeight="1" outlineLevel="2" x14ac:dyDescent="0.2">
      <c r="A139" s="982" t="s">
        <v>583</v>
      </c>
      <c r="B139" s="976">
        <v>204</v>
      </c>
      <c r="C139" s="965">
        <f>+C136</f>
        <v>6</v>
      </c>
      <c r="D139" s="988">
        <f>+IFERROR(VLOOKUP(B139,'Detalle Plan de Adquisiciones'!$G$53:$L$153,6,FALSE),0)</f>
        <v>219499997</v>
      </c>
      <c r="E139" s="866" t="str">
        <f>+'Detalle Plan de Adquisiciones'!F110</f>
        <v>INTERVENTORÍA TÉCNICA, ADMINISTRATIVA, FINANCIERA Y AMBIENTAL AL CONTRATO CUYO OBJETO ES:CONSTRUCCIÓN DEL PAVIMENTO RÍGIDO, ANDENES Y ESPACIO PUBLICO DE LA CARRERA 2 ENTRE LA CALLE 37 Y CALLE 41, ID (204). PERTENECIENTE AL SISTEMA ESTRATÉGICO DE TRANSPORTE PUBLICO "SETP" DE LA CIUDAD DE MONTERÍA.</v>
      </c>
      <c r="F139" s="312" t="s">
        <v>410</v>
      </c>
      <c r="G139" s="354">
        <v>0</v>
      </c>
      <c r="H139" s="354">
        <v>0</v>
      </c>
      <c r="I139" s="354">
        <v>0</v>
      </c>
      <c r="J139" s="354">
        <v>0</v>
      </c>
      <c r="K139" s="354">
        <v>0</v>
      </c>
      <c r="L139" s="354">
        <v>0</v>
      </c>
      <c r="M139" s="354">
        <v>0</v>
      </c>
      <c r="N139" s="354">
        <v>0</v>
      </c>
      <c r="O139" s="354">
        <v>0</v>
      </c>
      <c r="P139" s="354">
        <v>0</v>
      </c>
      <c r="Q139" s="354">
        <v>0</v>
      </c>
      <c r="R139" s="354">
        <v>0</v>
      </c>
      <c r="S139" s="354">
        <v>0</v>
      </c>
      <c r="T139" s="354">
        <v>0</v>
      </c>
      <c r="U139" s="354">
        <v>0</v>
      </c>
      <c r="V139" s="354">
        <v>0</v>
      </c>
      <c r="W139" s="354">
        <v>0</v>
      </c>
      <c r="X139" s="354">
        <v>0</v>
      </c>
      <c r="Y139" s="354">
        <v>0</v>
      </c>
      <c r="Z139" s="354">
        <v>0</v>
      </c>
      <c r="AA139" s="354">
        <v>0</v>
      </c>
      <c r="AB139" s="354">
        <v>0</v>
      </c>
      <c r="AC139" s="354">
        <v>0</v>
      </c>
      <c r="AD139" s="354">
        <v>0</v>
      </c>
      <c r="AE139" s="354">
        <v>0</v>
      </c>
      <c r="AF139" s="354">
        <v>0</v>
      </c>
      <c r="AG139" s="354">
        <v>0</v>
      </c>
      <c r="AH139" s="354">
        <v>0</v>
      </c>
      <c r="AI139" s="354">
        <v>0</v>
      </c>
      <c r="AJ139" s="354">
        <v>0</v>
      </c>
      <c r="AK139" s="354">
        <v>0</v>
      </c>
      <c r="AL139" s="354">
        <v>0</v>
      </c>
      <c r="AM139" s="354">
        <v>0</v>
      </c>
      <c r="AN139" s="354">
        <v>0</v>
      </c>
      <c r="AO139" s="354">
        <v>0</v>
      </c>
      <c r="AP139" s="354">
        <v>0</v>
      </c>
      <c r="AQ139" s="354">
        <v>0</v>
      </c>
      <c r="AR139" s="354">
        <v>0</v>
      </c>
      <c r="AS139" s="354">
        <v>0</v>
      </c>
      <c r="AT139" s="354">
        <v>0</v>
      </c>
      <c r="AU139" s="354">
        <v>0</v>
      </c>
      <c r="AV139" s="354">
        <v>0</v>
      </c>
      <c r="AW139" s="354">
        <v>0</v>
      </c>
      <c r="AX139" s="354">
        <v>0</v>
      </c>
      <c r="AY139" s="354">
        <v>0</v>
      </c>
      <c r="AZ139" s="354">
        <v>0</v>
      </c>
      <c r="BA139" s="354">
        <v>0</v>
      </c>
      <c r="BB139" s="354">
        <v>0</v>
      </c>
      <c r="BC139" s="354">
        <v>0</v>
      </c>
      <c r="BD139" s="354">
        <v>0</v>
      </c>
      <c r="BE139" s="354">
        <v>0</v>
      </c>
      <c r="BF139" s="354">
        <v>0</v>
      </c>
      <c r="BG139" s="354">
        <v>0</v>
      </c>
      <c r="BH139" s="354">
        <v>0</v>
      </c>
      <c r="BI139" s="354">
        <v>0</v>
      </c>
      <c r="BJ139" s="354">
        <v>0</v>
      </c>
      <c r="BK139" s="354">
        <v>0</v>
      </c>
      <c r="BL139" s="354">
        <v>0</v>
      </c>
      <c r="BM139" s="354">
        <v>0</v>
      </c>
      <c r="BN139" s="354">
        <v>0</v>
      </c>
      <c r="BO139" s="354">
        <v>0</v>
      </c>
      <c r="BP139" s="354">
        <v>0</v>
      </c>
      <c r="BQ139" s="354">
        <v>0</v>
      </c>
      <c r="BR139" s="354">
        <v>0</v>
      </c>
      <c r="BS139" s="354">
        <v>0</v>
      </c>
      <c r="BT139" s="354">
        <v>0</v>
      </c>
      <c r="BU139" s="354">
        <v>0</v>
      </c>
      <c r="BV139" s="354">
        <v>0</v>
      </c>
      <c r="BW139" s="354">
        <v>0</v>
      </c>
      <c r="BX139" s="354">
        <v>0</v>
      </c>
      <c r="BY139" s="354">
        <v>0</v>
      </c>
      <c r="BZ139" s="354">
        <v>0</v>
      </c>
      <c r="CA139" s="560">
        <v>0</v>
      </c>
      <c r="CB139" s="560">
        <v>0</v>
      </c>
      <c r="CC139" s="560">
        <v>0</v>
      </c>
      <c r="CD139" s="560">
        <v>0</v>
      </c>
      <c r="CE139" s="560">
        <v>0</v>
      </c>
      <c r="CF139" s="560">
        <v>0</v>
      </c>
      <c r="CG139" s="560">
        <v>0</v>
      </c>
      <c r="CH139" s="560">
        <v>0</v>
      </c>
      <c r="CI139" s="560">
        <v>0</v>
      </c>
      <c r="CJ139" s="560">
        <v>0</v>
      </c>
      <c r="CK139" s="560">
        <v>0</v>
      </c>
      <c r="CL139" s="560">
        <v>0</v>
      </c>
      <c r="CM139" s="354">
        <v>0</v>
      </c>
      <c r="CN139" s="354">
        <v>0</v>
      </c>
      <c r="CO139" s="354">
        <v>0</v>
      </c>
      <c r="CP139" s="354">
        <v>0</v>
      </c>
      <c r="CQ139" s="354">
        <v>0</v>
      </c>
      <c r="CR139" s="354">
        <v>0</v>
      </c>
      <c r="CS139" s="354">
        <v>0</v>
      </c>
      <c r="CT139" s="354">
        <v>0</v>
      </c>
      <c r="CU139" s="354">
        <v>0</v>
      </c>
      <c r="CV139" s="354">
        <v>0</v>
      </c>
      <c r="CW139" s="354">
        <v>0</v>
      </c>
      <c r="CX139" s="354">
        <v>0</v>
      </c>
      <c r="CY139" s="363">
        <v>0</v>
      </c>
      <c r="CZ139" s="363">
        <v>0</v>
      </c>
      <c r="DA139" s="363">
        <v>58.533334000000004</v>
      </c>
      <c r="DB139" s="354"/>
      <c r="DC139" s="354"/>
      <c r="DD139" s="354"/>
      <c r="DE139" s="557">
        <v>0</v>
      </c>
      <c r="DF139" s="354">
        <v>0</v>
      </c>
      <c r="DG139" s="354"/>
      <c r="DH139" s="354">
        <v>0</v>
      </c>
      <c r="DI139" s="354">
        <v>0</v>
      </c>
      <c r="DJ139" s="354">
        <v>0</v>
      </c>
      <c r="DK139" s="354">
        <v>0</v>
      </c>
      <c r="DL139" s="354">
        <v>0</v>
      </c>
      <c r="DM139" s="354">
        <v>0</v>
      </c>
      <c r="DN139" s="354">
        <v>0</v>
      </c>
      <c r="DO139" s="354">
        <v>0</v>
      </c>
      <c r="DP139" s="354">
        <v>0</v>
      </c>
      <c r="DQ139" s="354">
        <v>0</v>
      </c>
      <c r="DR139" s="354">
        <v>0</v>
      </c>
      <c r="DS139" s="354">
        <v>0</v>
      </c>
      <c r="DT139" s="354">
        <v>0</v>
      </c>
      <c r="DU139" s="354">
        <v>0</v>
      </c>
      <c r="DV139" s="354">
        <v>0</v>
      </c>
      <c r="DW139" s="688">
        <f t="shared" ref="DW139:DW147" si="18">SUM(G139:DV139)</f>
        <v>58.533334000000004</v>
      </c>
      <c r="DX139" s="858">
        <f>DW139+DW140+DW141</f>
        <v>219.49999699999998</v>
      </c>
      <c r="DY139" s="704">
        <f>+DX139*1000000</f>
        <v>219499996.99999997</v>
      </c>
      <c r="DZ139" s="899">
        <f>+DY139-D139</f>
        <v>0</v>
      </c>
      <c r="EA139" s="873">
        <f>VLOOKUP(POA!$B139,INTERPLAN,28,0)</f>
        <v>43087</v>
      </c>
      <c r="EB139" s="859">
        <f>+EDATE(EA139,C139)</f>
        <v>43269</v>
      </c>
      <c r="EC139" s="859">
        <f>EB139+30</f>
        <v>43299</v>
      </c>
      <c r="ED139" s="859" t="str">
        <f>CONCATENATE(MONTH(EA139),"-",YEAR(EA139))</f>
        <v>12-2017</v>
      </c>
      <c r="EE139" s="859" t="str">
        <f>CONCATENATE(MONTH(EB139),"-",YEAR(EB139))</f>
        <v>6-2018</v>
      </c>
      <c r="EF139" s="861" t="str">
        <f>CONCATENATE(MONTH(EC139),"-",YEAR(EC139))</f>
        <v>7-2018</v>
      </c>
      <c r="EG139" s="1105">
        <f>+YEAR(EA139)</f>
        <v>2017</v>
      </c>
      <c r="EH139" s="393">
        <f>+DY139</f>
        <v>219499996.99999997</v>
      </c>
      <c r="EI139" s="858">
        <f>+DW139+DW140+DW141</f>
        <v>219.49999699999998</v>
      </c>
      <c r="EJ139" s="877">
        <f>+D139/1000000-EI139</f>
        <v>0</v>
      </c>
      <c r="ER139" s="497"/>
    </row>
    <row r="140" spans="1:148" s="278" customFormat="1" ht="12" customHeight="1" outlineLevel="2" x14ac:dyDescent="0.2">
      <c r="A140" s="983"/>
      <c r="B140" s="977"/>
      <c r="C140" s="966"/>
      <c r="D140" s="989"/>
      <c r="E140" s="867"/>
      <c r="F140" s="311" t="s">
        <v>210</v>
      </c>
      <c r="G140" s="363">
        <v>0</v>
      </c>
      <c r="H140" s="363">
        <v>0</v>
      </c>
      <c r="I140" s="363">
        <v>0</v>
      </c>
      <c r="J140" s="363">
        <v>0</v>
      </c>
      <c r="K140" s="363">
        <v>0</v>
      </c>
      <c r="L140" s="363">
        <v>0</v>
      </c>
      <c r="M140" s="363">
        <v>0</v>
      </c>
      <c r="N140" s="363">
        <v>0</v>
      </c>
      <c r="O140" s="363">
        <v>0</v>
      </c>
      <c r="P140" s="363">
        <v>0</v>
      </c>
      <c r="Q140" s="363">
        <v>0</v>
      </c>
      <c r="R140" s="363">
        <v>0</v>
      </c>
      <c r="S140" s="363">
        <v>0</v>
      </c>
      <c r="T140" s="363">
        <v>0</v>
      </c>
      <c r="U140" s="363">
        <v>0</v>
      </c>
      <c r="V140" s="363">
        <v>0</v>
      </c>
      <c r="W140" s="363">
        <v>0</v>
      </c>
      <c r="X140" s="363">
        <v>0</v>
      </c>
      <c r="Y140" s="363">
        <v>0</v>
      </c>
      <c r="Z140" s="363">
        <v>0</v>
      </c>
      <c r="AA140" s="363">
        <v>0</v>
      </c>
      <c r="AB140" s="363">
        <v>0</v>
      </c>
      <c r="AC140" s="363">
        <v>0</v>
      </c>
      <c r="AD140" s="363">
        <v>0</v>
      </c>
      <c r="AE140" s="363">
        <v>0</v>
      </c>
      <c r="AF140" s="363">
        <v>0</v>
      </c>
      <c r="AG140" s="363">
        <v>0</v>
      </c>
      <c r="AH140" s="363">
        <v>0</v>
      </c>
      <c r="AI140" s="363">
        <v>0</v>
      </c>
      <c r="AJ140" s="363">
        <v>0</v>
      </c>
      <c r="AK140" s="363">
        <v>0</v>
      </c>
      <c r="AL140" s="363">
        <v>0</v>
      </c>
      <c r="AM140" s="363">
        <v>0</v>
      </c>
      <c r="AN140" s="363">
        <v>0</v>
      </c>
      <c r="AO140" s="363">
        <v>0</v>
      </c>
      <c r="AP140" s="363">
        <v>0</v>
      </c>
      <c r="AQ140" s="363">
        <v>0</v>
      </c>
      <c r="AR140" s="363">
        <v>0</v>
      </c>
      <c r="AS140" s="363">
        <v>0</v>
      </c>
      <c r="AT140" s="363">
        <v>0</v>
      </c>
      <c r="AU140" s="363">
        <v>0</v>
      </c>
      <c r="AV140" s="363">
        <v>0</v>
      </c>
      <c r="AW140" s="363">
        <v>0</v>
      </c>
      <c r="AX140" s="363">
        <v>0</v>
      </c>
      <c r="AY140" s="363">
        <v>0</v>
      </c>
      <c r="AZ140" s="363">
        <v>0</v>
      </c>
      <c r="BA140" s="363">
        <v>0</v>
      </c>
      <c r="BB140" s="363">
        <v>0</v>
      </c>
      <c r="BC140" s="363">
        <v>0</v>
      </c>
      <c r="BD140" s="363">
        <v>0</v>
      </c>
      <c r="BE140" s="363">
        <v>0</v>
      </c>
      <c r="BF140" s="363">
        <v>0</v>
      </c>
      <c r="BG140" s="363">
        <v>0</v>
      </c>
      <c r="BH140" s="363">
        <v>0</v>
      </c>
      <c r="BI140" s="363">
        <v>0</v>
      </c>
      <c r="BJ140" s="363">
        <v>0</v>
      </c>
      <c r="BK140" s="363">
        <v>0</v>
      </c>
      <c r="BL140" s="363">
        <v>0</v>
      </c>
      <c r="BM140" s="363">
        <v>0</v>
      </c>
      <c r="BN140" s="363">
        <v>0</v>
      </c>
      <c r="BO140" s="363">
        <v>0</v>
      </c>
      <c r="BP140" s="363">
        <v>0</v>
      </c>
      <c r="BQ140" s="363">
        <v>0</v>
      </c>
      <c r="BR140" s="363">
        <v>0</v>
      </c>
      <c r="BS140" s="363">
        <v>0</v>
      </c>
      <c r="BT140" s="363">
        <v>0</v>
      </c>
      <c r="BU140" s="363">
        <v>0</v>
      </c>
      <c r="BV140" s="363">
        <v>0</v>
      </c>
      <c r="BW140" s="363">
        <v>0</v>
      </c>
      <c r="BX140" s="363">
        <v>0</v>
      </c>
      <c r="BY140" s="363">
        <v>0</v>
      </c>
      <c r="BZ140" s="363">
        <v>0</v>
      </c>
      <c r="CA140" s="363">
        <v>0</v>
      </c>
      <c r="CB140" s="363">
        <v>0</v>
      </c>
      <c r="CC140" s="363">
        <v>0</v>
      </c>
      <c r="CD140" s="363">
        <v>0</v>
      </c>
      <c r="CE140" s="363">
        <v>0</v>
      </c>
      <c r="CF140" s="363">
        <v>0</v>
      </c>
      <c r="CG140" s="363">
        <v>0</v>
      </c>
      <c r="CH140" s="363">
        <v>0</v>
      </c>
      <c r="CI140" s="363">
        <v>0</v>
      </c>
      <c r="CJ140" s="363">
        <v>0</v>
      </c>
      <c r="CK140" s="363">
        <v>0</v>
      </c>
      <c r="CL140" s="363">
        <v>0</v>
      </c>
      <c r="CM140" s="363">
        <v>0</v>
      </c>
      <c r="CN140" s="363">
        <v>0</v>
      </c>
      <c r="CO140" s="363">
        <v>0</v>
      </c>
      <c r="CP140" s="363">
        <v>0</v>
      </c>
      <c r="CQ140" s="363">
        <v>0</v>
      </c>
      <c r="CR140" s="363">
        <v>0</v>
      </c>
      <c r="CS140" s="363">
        <v>0</v>
      </c>
      <c r="CT140" s="363">
        <v>0</v>
      </c>
      <c r="CU140" s="363">
        <v>0</v>
      </c>
      <c r="CV140" s="363">
        <v>0</v>
      </c>
      <c r="CW140" s="363">
        <v>0</v>
      </c>
      <c r="CX140" s="383">
        <v>0</v>
      </c>
      <c r="CY140" s="363">
        <v>0</v>
      </c>
      <c r="CZ140" s="363">
        <v>0</v>
      </c>
      <c r="DA140" s="363"/>
      <c r="DB140" s="363">
        <v>0</v>
      </c>
      <c r="DC140" s="363"/>
      <c r="DD140" s="363">
        <v>0</v>
      </c>
      <c r="DE140" s="411">
        <v>0</v>
      </c>
      <c r="DF140" s="363">
        <v>0</v>
      </c>
      <c r="DG140" s="363"/>
      <c r="DH140" s="363">
        <v>0</v>
      </c>
      <c r="DI140" s="363">
        <v>0</v>
      </c>
      <c r="DJ140" s="363">
        <v>0</v>
      </c>
      <c r="DK140" s="363">
        <v>0</v>
      </c>
      <c r="DL140" s="363">
        <v>0</v>
      </c>
      <c r="DM140" s="363">
        <v>0</v>
      </c>
      <c r="DN140" s="363">
        <v>0</v>
      </c>
      <c r="DO140" s="363">
        <v>0</v>
      </c>
      <c r="DP140" s="363">
        <v>0</v>
      </c>
      <c r="DQ140" s="363">
        <v>0</v>
      </c>
      <c r="DR140" s="363">
        <v>0</v>
      </c>
      <c r="DS140" s="363">
        <v>0</v>
      </c>
      <c r="DT140" s="363">
        <v>0</v>
      </c>
      <c r="DU140" s="363">
        <v>0</v>
      </c>
      <c r="DV140" s="363">
        <v>0</v>
      </c>
      <c r="DW140" s="689">
        <f t="shared" si="18"/>
        <v>0</v>
      </c>
      <c r="DX140" s="858"/>
      <c r="DY140" s="705"/>
      <c r="DZ140" s="900"/>
      <c r="EA140" s="873"/>
      <c r="EB140" s="859"/>
      <c r="EC140" s="859"/>
      <c r="ED140" s="859"/>
      <c r="EE140" s="859"/>
      <c r="EF140" s="861"/>
      <c r="EG140" s="1106"/>
      <c r="EI140" s="858"/>
      <c r="EJ140" s="877"/>
      <c r="ER140" s="497"/>
    </row>
    <row r="141" spans="1:148" s="278" customFormat="1" ht="40.5" customHeight="1" outlineLevel="2" thickBot="1" x14ac:dyDescent="0.25">
      <c r="A141" s="984"/>
      <c r="B141" s="978"/>
      <c r="C141" s="967"/>
      <c r="D141" s="990"/>
      <c r="E141" s="875"/>
      <c r="F141" s="313" t="s">
        <v>211</v>
      </c>
      <c r="G141" s="387">
        <v>0</v>
      </c>
      <c r="H141" s="387">
        <v>0</v>
      </c>
      <c r="I141" s="387">
        <v>0</v>
      </c>
      <c r="J141" s="387">
        <v>0</v>
      </c>
      <c r="K141" s="387">
        <v>0</v>
      </c>
      <c r="L141" s="387">
        <v>0</v>
      </c>
      <c r="M141" s="387">
        <v>0</v>
      </c>
      <c r="N141" s="387">
        <v>0</v>
      </c>
      <c r="O141" s="387">
        <v>0</v>
      </c>
      <c r="P141" s="387">
        <v>0</v>
      </c>
      <c r="Q141" s="387">
        <v>0</v>
      </c>
      <c r="R141" s="387">
        <v>0</v>
      </c>
      <c r="S141" s="387">
        <v>0</v>
      </c>
      <c r="T141" s="387">
        <v>0</v>
      </c>
      <c r="U141" s="387">
        <v>0</v>
      </c>
      <c r="V141" s="387">
        <v>0</v>
      </c>
      <c r="W141" s="387">
        <v>0</v>
      </c>
      <c r="X141" s="387">
        <v>0</v>
      </c>
      <c r="Y141" s="387">
        <v>0</v>
      </c>
      <c r="Z141" s="387">
        <v>0</v>
      </c>
      <c r="AA141" s="387">
        <v>0</v>
      </c>
      <c r="AB141" s="387">
        <v>0</v>
      </c>
      <c r="AC141" s="387">
        <v>0</v>
      </c>
      <c r="AD141" s="387">
        <v>0</v>
      </c>
      <c r="AE141" s="387">
        <v>0</v>
      </c>
      <c r="AF141" s="387">
        <v>0</v>
      </c>
      <c r="AG141" s="387">
        <v>0</v>
      </c>
      <c r="AH141" s="387">
        <v>0</v>
      </c>
      <c r="AI141" s="387">
        <v>0</v>
      </c>
      <c r="AJ141" s="387">
        <v>0</v>
      </c>
      <c r="AK141" s="387">
        <v>0</v>
      </c>
      <c r="AL141" s="387">
        <v>0</v>
      </c>
      <c r="AM141" s="387">
        <v>0</v>
      </c>
      <c r="AN141" s="387">
        <v>0</v>
      </c>
      <c r="AO141" s="387">
        <v>0</v>
      </c>
      <c r="AP141" s="387">
        <v>0</v>
      </c>
      <c r="AQ141" s="387">
        <v>0</v>
      </c>
      <c r="AR141" s="387">
        <v>0</v>
      </c>
      <c r="AS141" s="387">
        <v>0</v>
      </c>
      <c r="AT141" s="387">
        <v>0</v>
      </c>
      <c r="AU141" s="387">
        <v>0</v>
      </c>
      <c r="AV141" s="387">
        <v>0</v>
      </c>
      <c r="AW141" s="387">
        <v>0</v>
      </c>
      <c r="AX141" s="387">
        <v>0</v>
      </c>
      <c r="AY141" s="387">
        <v>0</v>
      </c>
      <c r="AZ141" s="387">
        <v>0</v>
      </c>
      <c r="BA141" s="387">
        <v>0</v>
      </c>
      <c r="BB141" s="387">
        <v>0</v>
      </c>
      <c r="BC141" s="387">
        <v>0</v>
      </c>
      <c r="BD141" s="387">
        <v>0</v>
      </c>
      <c r="BE141" s="387">
        <v>0</v>
      </c>
      <c r="BF141" s="387">
        <v>0</v>
      </c>
      <c r="BG141" s="387">
        <v>0</v>
      </c>
      <c r="BH141" s="387">
        <v>0</v>
      </c>
      <c r="BI141" s="387">
        <v>0</v>
      </c>
      <c r="BJ141" s="387">
        <v>0</v>
      </c>
      <c r="BK141" s="387">
        <v>0</v>
      </c>
      <c r="BL141" s="387">
        <v>0</v>
      </c>
      <c r="BM141" s="387">
        <v>0</v>
      </c>
      <c r="BN141" s="387">
        <v>0</v>
      </c>
      <c r="BO141" s="387">
        <v>0</v>
      </c>
      <c r="BP141" s="387">
        <v>0</v>
      </c>
      <c r="BQ141" s="387">
        <v>0</v>
      </c>
      <c r="BR141" s="387">
        <v>0</v>
      </c>
      <c r="BS141" s="387">
        <v>0</v>
      </c>
      <c r="BT141" s="387">
        <v>0</v>
      </c>
      <c r="BU141" s="387">
        <v>0</v>
      </c>
      <c r="BV141" s="387">
        <v>0</v>
      </c>
      <c r="BW141" s="387">
        <v>0</v>
      </c>
      <c r="BX141" s="387">
        <v>0</v>
      </c>
      <c r="BY141" s="387">
        <v>0</v>
      </c>
      <c r="BZ141" s="387">
        <v>0</v>
      </c>
      <c r="CA141" s="387">
        <v>0</v>
      </c>
      <c r="CB141" s="387">
        <v>0</v>
      </c>
      <c r="CC141" s="387">
        <v>0</v>
      </c>
      <c r="CD141" s="387">
        <v>0</v>
      </c>
      <c r="CE141" s="387">
        <v>0</v>
      </c>
      <c r="CF141" s="387">
        <v>0</v>
      </c>
      <c r="CG141" s="387">
        <v>0</v>
      </c>
      <c r="CH141" s="387">
        <v>0</v>
      </c>
      <c r="CI141" s="387">
        <v>0</v>
      </c>
      <c r="CJ141" s="387">
        <v>0</v>
      </c>
      <c r="CK141" s="387">
        <v>0</v>
      </c>
      <c r="CL141" s="387">
        <v>0</v>
      </c>
      <c r="CM141" s="387">
        <v>0</v>
      </c>
      <c r="CN141" s="387">
        <v>0</v>
      </c>
      <c r="CO141" s="387">
        <v>0</v>
      </c>
      <c r="CP141" s="387">
        <v>0</v>
      </c>
      <c r="CQ141" s="387">
        <v>0</v>
      </c>
      <c r="CR141" s="387">
        <v>0</v>
      </c>
      <c r="CS141" s="387">
        <v>0</v>
      </c>
      <c r="CT141" s="387">
        <v>0</v>
      </c>
      <c r="CU141" s="387">
        <v>0</v>
      </c>
      <c r="CV141" s="387">
        <v>0</v>
      </c>
      <c r="CW141" s="387">
        <v>0</v>
      </c>
      <c r="CX141" s="387"/>
      <c r="CY141" s="387"/>
      <c r="CZ141" s="387"/>
      <c r="DA141" s="387">
        <v>0.30868800000000002</v>
      </c>
      <c r="DB141" s="387">
        <v>29.284717000000001</v>
      </c>
      <c r="DC141" s="393">
        <v>0</v>
      </c>
      <c r="DD141" s="387">
        <v>58.569436000000003</v>
      </c>
      <c r="DE141" s="559">
        <v>0</v>
      </c>
      <c r="DG141" s="387">
        <v>72.803821999999997</v>
      </c>
      <c r="DH141" s="387"/>
      <c r="DI141" s="387"/>
      <c r="DJ141" s="387"/>
      <c r="DK141" s="387"/>
      <c r="DL141" s="387"/>
      <c r="DM141" s="387">
        <v>0</v>
      </c>
      <c r="DN141" s="387">
        <v>0</v>
      </c>
      <c r="DO141" s="387">
        <v>0</v>
      </c>
      <c r="DP141" s="387">
        <v>0</v>
      </c>
      <c r="DQ141" s="387">
        <v>0</v>
      </c>
      <c r="DR141" s="387">
        <v>0</v>
      </c>
      <c r="DS141" s="387">
        <v>0</v>
      </c>
      <c r="DT141" s="387">
        <v>0</v>
      </c>
      <c r="DU141" s="387">
        <v>0</v>
      </c>
      <c r="DV141" s="387">
        <v>0</v>
      </c>
      <c r="DW141" s="690">
        <f t="shared" si="18"/>
        <v>160.96666299999998</v>
      </c>
      <c r="DX141" s="858"/>
      <c r="DY141" s="706"/>
      <c r="DZ141" s="901"/>
      <c r="EA141" s="873"/>
      <c r="EB141" s="859"/>
      <c r="EC141" s="859"/>
      <c r="ED141" s="859"/>
      <c r="EE141" s="859"/>
      <c r="EF141" s="861"/>
      <c r="EG141" s="1107"/>
      <c r="EI141" s="858"/>
      <c r="EJ141" s="877"/>
      <c r="ER141" s="497"/>
    </row>
    <row r="142" spans="1:148" s="278" customFormat="1" ht="24" outlineLevel="2" x14ac:dyDescent="0.2">
      <c r="A142" s="993" t="s">
        <v>625</v>
      </c>
      <c r="B142" s="976" t="s">
        <v>622</v>
      </c>
      <c r="C142" s="965">
        <v>12</v>
      </c>
      <c r="D142" s="960">
        <f>+IFERROR(VLOOKUP(B142,'Detalle Plan de Adquisiciones'!$G$6:$M$66,7,FALSE),0)</f>
        <v>5434054875</v>
      </c>
      <c r="E142" s="866" t="str">
        <f>+'Detalle Plan de Adquisiciones'!F30</f>
        <v>CONSTRUCCIÓN DEL PAVIMENTO RÍGIDO, ANDENES Y ESPACIO PUBLICO DE LAS CALLES 31, 32, 33 Y 34 ENTRE CARRERA 1 Y CARRERA 5, ID (207-208-209-210). PERTENECIENTE AL SISTEMA ESTRATÉGICO DE TRANSPORTE PUBLICO "SETP" DE LA CIUDAD DE MONTERÍA.</v>
      </c>
      <c r="F142" s="312" t="s">
        <v>410</v>
      </c>
      <c r="G142" s="354">
        <v>0</v>
      </c>
      <c r="H142" s="354">
        <v>0</v>
      </c>
      <c r="I142" s="354">
        <v>0</v>
      </c>
      <c r="J142" s="354">
        <v>0</v>
      </c>
      <c r="K142" s="354">
        <v>0</v>
      </c>
      <c r="L142" s="354">
        <v>0</v>
      </c>
      <c r="M142" s="354">
        <v>0</v>
      </c>
      <c r="N142" s="354">
        <v>0</v>
      </c>
      <c r="O142" s="354">
        <v>0</v>
      </c>
      <c r="P142" s="354">
        <v>0</v>
      </c>
      <c r="Q142" s="354">
        <v>0</v>
      </c>
      <c r="R142" s="354">
        <v>0</v>
      </c>
      <c r="S142" s="354">
        <v>0</v>
      </c>
      <c r="T142" s="354">
        <v>0</v>
      </c>
      <c r="U142" s="354">
        <v>0</v>
      </c>
      <c r="V142" s="354">
        <v>0</v>
      </c>
      <c r="W142" s="354">
        <v>0</v>
      </c>
      <c r="X142" s="354">
        <v>0</v>
      </c>
      <c r="Y142" s="354">
        <v>0</v>
      </c>
      <c r="Z142" s="354">
        <v>0</v>
      </c>
      <c r="AA142" s="354">
        <v>0</v>
      </c>
      <c r="AB142" s="354">
        <v>0</v>
      </c>
      <c r="AC142" s="354">
        <v>0</v>
      </c>
      <c r="AD142" s="354">
        <v>0</v>
      </c>
      <c r="AE142" s="354">
        <v>0</v>
      </c>
      <c r="AF142" s="354">
        <v>0</v>
      </c>
      <c r="AG142" s="354">
        <v>0</v>
      </c>
      <c r="AH142" s="354">
        <v>0</v>
      </c>
      <c r="AI142" s="354">
        <v>0</v>
      </c>
      <c r="AJ142" s="354">
        <v>0</v>
      </c>
      <c r="AK142" s="354">
        <v>0</v>
      </c>
      <c r="AL142" s="354">
        <v>0</v>
      </c>
      <c r="AM142" s="354">
        <v>0</v>
      </c>
      <c r="AN142" s="354">
        <v>0</v>
      </c>
      <c r="AO142" s="354">
        <v>0</v>
      </c>
      <c r="AP142" s="354">
        <v>0</v>
      </c>
      <c r="AQ142" s="354">
        <v>0</v>
      </c>
      <c r="AR142" s="354">
        <v>0</v>
      </c>
      <c r="AS142" s="354">
        <v>0</v>
      </c>
      <c r="AT142" s="354">
        <v>0</v>
      </c>
      <c r="AU142" s="354">
        <v>0</v>
      </c>
      <c r="AV142" s="354">
        <v>0</v>
      </c>
      <c r="AW142" s="354">
        <v>0</v>
      </c>
      <c r="AX142" s="354">
        <v>0</v>
      </c>
      <c r="AY142" s="354">
        <v>0</v>
      </c>
      <c r="AZ142" s="354">
        <v>0</v>
      </c>
      <c r="BA142" s="354">
        <v>0</v>
      </c>
      <c r="BB142" s="354">
        <v>0</v>
      </c>
      <c r="BC142" s="354">
        <v>0</v>
      </c>
      <c r="BD142" s="354">
        <v>0</v>
      </c>
      <c r="BE142" s="354">
        <v>0</v>
      </c>
      <c r="BF142" s="354">
        <v>0</v>
      </c>
      <c r="BG142" s="354">
        <v>0</v>
      </c>
      <c r="BH142" s="354">
        <v>0</v>
      </c>
      <c r="BI142" s="354">
        <v>0</v>
      </c>
      <c r="BJ142" s="354">
        <v>0</v>
      </c>
      <c r="BK142" s="354">
        <v>0</v>
      </c>
      <c r="BL142" s="354">
        <v>0</v>
      </c>
      <c r="BM142" s="354">
        <v>0</v>
      </c>
      <c r="BN142" s="354">
        <v>0</v>
      </c>
      <c r="BO142" s="354">
        <v>0</v>
      </c>
      <c r="BP142" s="354">
        <v>0</v>
      </c>
      <c r="BQ142" s="354">
        <v>0</v>
      </c>
      <c r="BR142" s="354">
        <v>0</v>
      </c>
      <c r="BS142" s="354">
        <v>0</v>
      </c>
      <c r="BT142" s="354">
        <v>0</v>
      </c>
      <c r="BU142" s="354">
        <v>0</v>
      </c>
      <c r="BV142" s="354">
        <v>0</v>
      </c>
      <c r="BW142" s="354">
        <v>0</v>
      </c>
      <c r="BX142" s="354">
        <v>0</v>
      </c>
      <c r="BY142" s="354">
        <v>0</v>
      </c>
      <c r="BZ142" s="354">
        <v>0</v>
      </c>
      <c r="CA142" s="354">
        <v>0</v>
      </c>
      <c r="CB142" s="354">
        <v>0</v>
      </c>
      <c r="CC142" s="354">
        <v>0</v>
      </c>
      <c r="CD142" s="354">
        <v>0</v>
      </c>
      <c r="CE142" s="354">
        <v>0</v>
      </c>
      <c r="CF142" s="354">
        <v>0</v>
      </c>
      <c r="CG142" s="354">
        <v>0</v>
      </c>
      <c r="CH142" s="354">
        <v>0</v>
      </c>
      <c r="CI142" s="354">
        <v>0</v>
      </c>
      <c r="CJ142" s="354">
        <v>0</v>
      </c>
      <c r="CK142" s="354">
        <v>0</v>
      </c>
      <c r="CL142" s="354">
        <v>0</v>
      </c>
      <c r="CM142" s="354">
        <v>0</v>
      </c>
      <c r="CN142" s="354">
        <v>0</v>
      </c>
      <c r="CO142" s="354">
        <v>0</v>
      </c>
      <c r="CP142" s="354">
        <v>0</v>
      </c>
      <c r="CQ142" s="354">
        <v>0</v>
      </c>
      <c r="CR142" s="354"/>
      <c r="CS142" s="354"/>
      <c r="CT142" s="354"/>
      <c r="CU142" s="354"/>
      <c r="CV142" s="354"/>
      <c r="CW142" s="393"/>
      <c r="CX142" s="354">
        <v>1086.8109750000001</v>
      </c>
      <c r="CY142" s="354">
        <v>0</v>
      </c>
      <c r="CZ142" s="354">
        <v>0</v>
      </c>
      <c r="DA142" s="354">
        <v>632.75122499999998</v>
      </c>
      <c r="DB142" s="354">
        <v>0</v>
      </c>
      <c r="DC142" s="354">
        <v>627.14330199999995</v>
      </c>
      <c r="DD142" s="354">
        <v>0</v>
      </c>
      <c r="DE142" s="354">
        <v>865.11619199999996</v>
      </c>
      <c r="DF142" s="354"/>
      <c r="DG142" s="354">
        <v>176.24648773687318</v>
      </c>
      <c r="DH142" s="354"/>
      <c r="DI142" s="354"/>
      <c r="DJ142" s="354">
        <v>0</v>
      </c>
      <c r="DK142" s="354">
        <v>0</v>
      </c>
      <c r="DL142" s="354">
        <v>0</v>
      </c>
      <c r="DM142" s="354">
        <v>0</v>
      </c>
      <c r="DN142" s="354">
        <v>0</v>
      </c>
      <c r="DO142" s="354">
        <v>0</v>
      </c>
      <c r="DP142" s="354">
        <v>0</v>
      </c>
      <c r="DQ142" s="354">
        <v>0</v>
      </c>
      <c r="DR142" s="354">
        <v>0</v>
      </c>
      <c r="DS142" s="354">
        <v>0</v>
      </c>
      <c r="DT142" s="354">
        <v>0</v>
      </c>
      <c r="DU142" s="354">
        <v>0</v>
      </c>
      <c r="DV142" s="354">
        <v>0</v>
      </c>
      <c r="DW142" s="688">
        <f t="shared" si="18"/>
        <v>3388.0681817368732</v>
      </c>
      <c r="DX142" s="858">
        <f>DW142+DW143+DW144</f>
        <v>5434.054874833033</v>
      </c>
      <c r="DY142" s="704">
        <f>+DX142*1000000</f>
        <v>5434054874.8330326</v>
      </c>
      <c r="DZ142" s="899">
        <f>+DY142-D142</f>
        <v>-0.16696739196777344</v>
      </c>
      <c r="EA142" s="873">
        <f>VLOOKUP(POA!$B142,'Detalle Plan de Adquisiciones'!$G$6:$AF$66,23,0)</f>
        <v>43084</v>
      </c>
      <c r="EB142" s="859">
        <f>VLOOKUP(POA!$B142,'Detalle Plan de Adquisiciones'!$G$6:$AF$66,25,0)</f>
        <v>43449</v>
      </c>
      <c r="EC142" s="859">
        <f>EB142+30</f>
        <v>43479</v>
      </c>
      <c r="ED142" s="859" t="str">
        <f>CONCATENATE(MONTH(EA142),"-",YEAR(EA142))</f>
        <v>12-2017</v>
      </c>
      <c r="EE142" s="859" t="str">
        <f>CONCATENATE(MONTH(EB142),"-",YEAR(EB142))</f>
        <v>12-2018</v>
      </c>
      <c r="EF142" s="861" t="str">
        <f>CONCATENATE(MONTH(EC142),"-",YEAR(EC142))</f>
        <v>1-2019</v>
      </c>
      <c r="EG142" s="1105">
        <f>+YEAR(EA142)</f>
        <v>2017</v>
      </c>
      <c r="EH142" s="393">
        <f>+DY142</f>
        <v>5434054874.8330326</v>
      </c>
      <c r="EI142" s="858">
        <f>+DW142+DW143+DW144</f>
        <v>5434.054874833033</v>
      </c>
      <c r="EJ142" s="877">
        <f>+D142/1000000-EI142</f>
        <v>1.6696685634087771E-7</v>
      </c>
      <c r="ER142" s="497"/>
    </row>
    <row r="143" spans="1:148" s="278" customFormat="1" outlineLevel="2" x14ac:dyDescent="0.2">
      <c r="A143" s="994"/>
      <c r="B143" s="977"/>
      <c r="C143" s="966"/>
      <c r="D143" s="961"/>
      <c r="E143" s="867"/>
      <c r="F143" s="311" t="s">
        <v>210</v>
      </c>
      <c r="G143" s="363">
        <v>0</v>
      </c>
      <c r="H143" s="363">
        <v>0</v>
      </c>
      <c r="I143" s="363">
        <v>0</v>
      </c>
      <c r="J143" s="363">
        <v>0</v>
      </c>
      <c r="K143" s="363">
        <v>0</v>
      </c>
      <c r="L143" s="363">
        <v>0</v>
      </c>
      <c r="M143" s="363">
        <v>0</v>
      </c>
      <c r="N143" s="363">
        <v>0</v>
      </c>
      <c r="O143" s="363">
        <v>0</v>
      </c>
      <c r="P143" s="363">
        <v>0</v>
      </c>
      <c r="Q143" s="363">
        <v>0</v>
      </c>
      <c r="R143" s="363">
        <v>0</v>
      </c>
      <c r="S143" s="363">
        <v>0</v>
      </c>
      <c r="T143" s="363">
        <v>0</v>
      </c>
      <c r="U143" s="363">
        <v>0</v>
      </c>
      <c r="V143" s="363">
        <v>0</v>
      </c>
      <c r="W143" s="363">
        <v>0</v>
      </c>
      <c r="X143" s="363">
        <v>0</v>
      </c>
      <c r="Y143" s="363">
        <v>0</v>
      </c>
      <c r="Z143" s="363">
        <v>0</v>
      </c>
      <c r="AA143" s="363">
        <v>0</v>
      </c>
      <c r="AB143" s="363">
        <v>0</v>
      </c>
      <c r="AC143" s="363">
        <v>0</v>
      </c>
      <c r="AD143" s="363">
        <v>0</v>
      </c>
      <c r="AE143" s="363">
        <v>0</v>
      </c>
      <c r="AF143" s="363">
        <v>0</v>
      </c>
      <c r="AG143" s="363">
        <v>0</v>
      </c>
      <c r="AH143" s="363">
        <v>0</v>
      </c>
      <c r="AI143" s="363">
        <v>0</v>
      </c>
      <c r="AJ143" s="363">
        <v>0</v>
      </c>
      <c r="AK143" s="363">
        <v>0</v>
      </c>
      <c r="AL143" s="363">
        <v>0</v>
      </c>
      <c r="AM143" s="363">
        <v>0</v>
      </c>
      <c r="AN143" s="363">
        <v>0</v>
      </c>
      <c r="AO143" s="363">
        <v>0</v>
      </c>
      <c r="AP143" s="363">
        <v>0</v>
      </c>
      <c r="AQ143" s="363">
        <v>0</v>
      </c>
      <c r="AR143" s="363">
        <v>0</v>
      </c>
      <c r="AS143" s="363">
        <v>0</v>
      </c>
      <c r="AT143" s="363">
        <v>0</v>
      </c>
      <c r="AU143" s="363">
        <v>0</v>
      </c>
      <c r="AV143" s="363">
        <v>0</v>
      </c>
      <c r="AW143" s="363">
        <v>0</v>
      </c>
      <c r="AX143" s="363">
        <v>0</v>
      </c>
      <c r="AY143" s="363">
        <v>0</v>
      </c>
      <c r="AZ143" s="363">
        <v>0</v>
      </c>
      <c r="BA143" s="363">
        <v>0</v>
      </c>
      <c r="BB143" s="363">
        <v>0</v>
      </c>
      <c r="BC143" s="363">
        <v>0</v>
      </c>
      <c r="BD143" s="363">
        <v>0</v>
      </c>
      <c r="BE143" s="363">
        <v>0</v>
      </c>
      <c r="BF143" s="363">
        <v>0</v>
      </c>
      <c r="BG143" s="363">
        <v>0</v>
      </c>
      <c r="BH143" s="363">
        <v>0</v>
      </c>
      <c r="BI143" s="363">
        <v>0</v>
      </c>
      <c r="BJ143" s="363">
        <v>0</v>
      </c>
      <c r="BK143" s="363">
        <v>0</v>
      </c>
      <c r="BL143" s="363">
        <v>0</v>
      </c>
      <c r="BM143" s="363">
        <v>0</v>
      </c>
      <c r="BN143" s="363">
        <v>0</v>
      </c>
      <c r="BO143" s="363">
        <v>0</v>
      </c>
      <c r="BP143" s="363">
        <v>0</v>
      </c>
      <c r="BQ143" s="363">
        <v>0</v>
      </c>
      <c r="BR143" s="363">
        <v>0</v>
      </c>
      <c r="BS143" s="363">
        <v>0</v>
      </c>
      <c r="BT143" s="363">
        <v>0</v>
      </c>
      <c r="BU143" s="363">
        <v>0</v>
      </c>
      <c r="BV143" s="363">
        <v>0</v>
      </c>
      <c r="BW143" s="363">
        <v>0</v>
      </c>
      <c r="BX143" s="363">
        <v>0</v>
      </c>
      <c r="BY143" s="363">
        <v>0</v>
      </c>
      <c r="BZ143" s="363">
        <v>0</v>
      </c>
      <c r="CA143" s="363">
        <v>0</v>
      </c>
      <c r="CB143" s="363">
        <v>0</v>
      </c>
      <c r="CC143" s="363">
        <v>0</v>
      </c>
      <c r="CD143" s="363">
        <v>0</v>
      </c>
      <c r="CE143" s="363">
        <v>0</v>
      </c>
      <c r="CF143" s="363">
        <v>0</v>
      </c>
      <c r="CG143" s="363">
        <v>0</v>
      </c>
      <c r="CH143" s="363">
        <v>0</v>
      </c>
      <c r="CI143" s="363">
        <v>0</v>
      </c>
      <c r="CJ143" s="363">
        <v>0</v>
      </c>
      <c r="CK143" s="363">
        <v>0</v>
      </c>
      <c r="CL143" s="363">
        <v>0</v>
      </c>
      <c r="CM143" s="363">
        <v>0</v>
      </c>
      <c r="CN143" s="363">
        <v>0</v>
      </c>
      <c r="CO143" s="363">
        <v>0</v>
      </c>
      <c r="CP143" s="363">
        <v>0</v>
      </c>
      <c r="CQ143" s="363">
        <v>0</v>
      </c>
      <c r="CR143" s="363"/>
      <c r="CS143" s="363"/>
      <c r="CT143" s="363"/>
      <c r="CU143" s="363"/>
      <c r="CV143" s="363"/>
      <c r="CW143" s="363"/>
      <c r="CX143" s="363"/>
      <c r="CY143" s="363"/>
      <c r="CZ143" s="363"/>
      <c r="DA143" s="363"/>
      <c r="DB143" s="363"/>
      <c r="DC143" s="363"/>
      <c r="DD143" s="363"/>
      <c r="DE143" s="363"/>
      <c r="DF143" s="363"/>
      <c r="DG143" s="363">
        <v>0</v>
      </c>
      <c r="DH143" s="363"/>
      <c r="DI143" s="363">
        <v>0</v>
      </c>
      <c r="DJ143" s="363">
        <v>0</v>
      </c>
      <c r="DK143" s="363">
        <v>0</v>
      </c>
      <c r="DL143" s="363">
        <v>0</v>
      </c>
      <c r="DM143" s="363">
        <v>0</v>
      </c>
      <c r="DN143" s="363">
        <v>0</v>
      </c>
      <c r="DO143" s="363">
        <v>0</v>
      </c>
      <c r="DP143" s="363">
        <v>0</v>
      </c>
      <c r="DQ143" s="363">
        <v>0</v>
      </c>
      <c r="DR143" s="363">
        <v>0</v>
      </c>
      <c r="DS143" s="363">
        <v>0</v>
      </c>
      <c r="DT143" s="363">
        <v>0</v>
      </c>
      <c r="DU143" s="363">
        <v>0</v>
      </c>
      <c r="DV143" s="363">
        <v>0</v>
      </c>
      <c r="DW143" s="689">
        <f t="shared" si="18"/>
        <v>0</v>
      </c>
      <c r="DX143" s="858"/>
      <c r="DY143" s="705"/>
      <c r="DZ143" s="900"/>
      <c r="EA143" s="873"/>
      <c r="EB143" s="859"/>
      <c r="EC143" s="859"/>
      <c r="ED143" s="859"/>
      <c r="EE143" s="859"/>
      <c r="EF143" s="861"/>
      <c r="EG143" s="1106"/>
      <c r="EI143" s="858"/>
      <c r="EJ143" s="877"/>
      <c r="ER143" s="497"/>
    </row>
    <row r="144" spans="1:148" s="278" customFormat="1" ht="12.75" outlineLevel="2" thickBot="1" x14ac:dyDescent="0.25">
      <c r="A144" s="995"/>
      <c r="B144" s="978"/>
      <c r="C144" s="967"/>
      <c r="D144" s="962"/>
      <c r="E144" s="875"/>
      <c r="F144" s="313" t="s">
        <v>211</v>
      </c>
      <c r="G144" s="387">
        <v>0</v>
      </c>
      <c r="H144" s="387">
        <v>0</v>
      </c>
      <c r="I144" s="387">
        <v>0</v>
      </c>
      <c r="J144" s="387">
        <v>0</v>
      </c>
      <c r="K144" s="387">
        <v>0</v>
      </c>
      <c r="L144" s="387">
        <v>0</v>
      </c>
      <c r="M144" s="387">
        <v>0</v>
      </c>
      <c r="N144" s="387">
        <v>0</v>
      </c>
      <c r="O144" s="387">
        <v>0</v>
      </c>
      <c r="P144" s="387">
        <v>0</v>
      </c>
      <c r="Q144" s="387">
        <v>0</v>
      </c>
      <c r="R144" s="387">
        <v>0</v>
      </c>
      <c r="S144" s="387">
        <v>0</v>
      </c>
      <c r="T144" s="387">
        <v>0</v>
      </c>
      <c r="U144" s="387">
        <v>0</v>
      </c>
      <c r="V144" s="387">
        <v>0</v>
      </c>
      <c r="W144" s="387">
        <v>0</v>
      </c>
      <c r="X144" s="387">
        <v>0</v>
      </c>
      <c r="Y144" s="387">
        <v>0</v>
      </c>
      <c r="Z144" s="387">
        <v>0</v>
      </c>
      <c r="AA144" s="387">
        <v>0</v>
      </c>
      <c r="AB144" s="387">
        <v>0</v>
      </c>
      <c r="AC144" s="387">
        <v>0</v>
      </c>
      <c r="AD144" s="387">
        <v>0</v>
      </c>
      <c r="AE144" s="387">
        <v>0</v>
      </c>
      <c r="AF144" s="387">
        <v>0</v>
      </c>
      <c r="AG144" s="387">
        <v>0</v>
      </c>
      <c r="AH144" s="387">
        <v>0</v>
      </c>
      <c r="AI144" s="387">
        <v>0</v>
      </c>
      <c r="AJ144" s="387">
        <v>0</v>
      </c>
      <c r="AK144" s="387">
        <v>0</v>
      </c>
      <c r="AL144" s="387">
        <v>0</v>
      </c>
      <c r="AM144" s="387">
        <v>0</v>
      </c>
      <c r="AN144" s="387">
        <v>0</v>
      </c>
      <c r="AO144" s="387">
        <v>0</v>
      </c>
      <c r="AP144" s="387">
        <v>0</v>
      </c>
      <c r="AQ144" s="387">
        <v>0</v>
      </c>
      <c r="AR144" s="387">
        <v>0</v>
      </c>
      <c r="AS144" s="387">
        <v>0</v>
      </c>
      <c r="AT144" s="387">
        <v>0</v>
      </c>
      <c r="AU144" s="387">
        <v>0</v>
      </c>
      <c r="AV144" s="387">
        <v>0</v>
      </c>
      <c r="AW144" s="387">
        <v>0</v>
      </c>
      <c r="AX144" s="387">
        <v>0</v>
      </c>
      <c r="AY144" s="387">
        <v>0</v>
      </c>
      <c r="AZ144" s="387">
        <v>0</v>
      </c>
      <c r="BA144" s="387">
        <v>0</v>
      </c>
      <c r="BB144" s="387">
        <v>0</v>
      </c>
      <c r="BC144" s="387">
        <v>0</v>
      </c>
      <c r="BD144" s="387">
        <v>0</v>
      </c>
      <c r="BE144" s="387">
        <v>0</v>
      </c>
      <c r="BF144" s="387">
        <v>0</v>
      </c>
      <c r="BG144" s="387">
        <v>0</v>
      </c>
      <c r="BH144" s="387">
        <v>0</v>
      </c>
      <c r="BI144" s="387">
        <v>0</v>
      </c>
      <c r="BJ144" s="387">
        <v>0</v>
      </c>
      <c r="BK144" s="387">
        <v>0</v>
      </c>
      <c r="BL144" s="387">
        <v>0</v>
      </c>
      <c r="BM144" s="387">
        <v>0</v>
      </c>
      <c r="BN144" s="387">
        <v>0</v>
      </c>
      <c r="BO144" s="387">
        <v>0</v>
      </c>
      <c r="BP144" s="387">
        <v>0</v>
      </c>
      <c r="BQ144" s="387">
        <v>0</v>
      </c>
      <c r="BR144" s="387">
        <v>0</v>
      </c>
      <c r="BS144" s="387">
        <v>0</v>
      </c>
      <c r="BT144" s="387">
        <v>0</v>
      </c>
      <c r="BU144" s="387">
        <v>0</v>
      </c>
      <c r="BV144" s="387">
        <v>0</v>
      </c>
      <c r="BW144" s="387">
        <v>0</v>
      </c>
      <c r="BX144" s="387">
        <v>0</v>
      </c>
      <c r="BY144" s="387">
        <v>0</v>
      </c>
      <c r="BZ144" s="387">
        <v>0</v>
      </c>
      <c r="CA144" s="387">
        <v>0</v>
      </c>
      <c r="CB144" s="387">
        <v>0</v>
      </c>
      <c r="CC144" s="387">
        <v>0</v>
      </c>
      <c r="CD144" s="387">
        <v>0</v>
      </c>
      <c r="CE144" s="387">
        <v>0</v>
      </c>
      <c r="CF144" s="387">
        <v>0</v>
      </c>
      <c r="CG144" s="387">
        <v>0</v>
      </c>
      <c r="CH144" s="387">
        <v>0</v>
      </c>
      <c r="CI144" s="387">
        <v>0</v>
      </c>
      <c r="CJ144" s="387">
        <v>0</v>
      </c>
      <c r="CK144" s="387">
        <v>0</v>
      </c>
      <c r="CL144" s="387">
        <v>0</v>
      </c>
      <c r="CM144" s="387">
        <v>0</v>
      </c>
      <c r="CN144" s="387">
        <v>0</v>
      </c>
      <c r="CO144" s="387">
        <v>0</v>
      </c>
      <c r="CP144" s="387">
        <v>0</v>
      </c>
      <c r="CQ144" s="387">
        <v>0</v>
      </c>
      <c r="CR144" s="387"/>
      <c r="CS144" s="387"/>
      <c r="CT144" s="387"/>
      <c r="CU144" s="387"/>
      <c r="CV144" s="387"/>
      <c r="CW144" s="387"/>
      <c r="CX144" s="387"/>
      <c r="CY144" s="387"/>
      <c r="CZ144" s="387"/>
      <c r="DA144" s="387"/>
      <c r="DB144" s="387"/>
      <c r="DD144" s="387"/>
      <c r="DE144" s="387"/>
      <c r="DF144" s="387">
        <v>345.66859639903998</v>
      </c>
      <c r="DG144" s="387">
        <v>345.66859639903998</v>
      </c>
      <c r="DH144" s="387">
        <v>345.66859639903998</v>
      </c>
      <c r="DI144" s="387">
        <f>345.66859639904+120.095845</f>
        <v>465.76444139903998</v>
      </c>
      <c r="DJ144" s="387">
        <v>543.21646250000003</v>
      </c>
      <c r="DK144" s="387">
        <v>0</v>
      </c>
      <c r="DL144" s="387">
        <v>0</v>
      </c>
      <c r="DM144" s="387">
        <v>0</v>
      </c>
      <c r="DN144" s="387">
        <v>0</v>
      </c>
      <c r="DO144" s="387">
        <v>0</v>
      </c>
      <c r="DP144" s="387">
        <v>0</v>
      </c>
      <c r="DQ144" s="387">
        <v>0</v>
      </c>
      <c r="DR144" s="387">
        <v>0</v>
      </c>
      <c r="DS144" s="387">
        <v>0</v>
      </c>
      <c r="DT144" s="387">
        <v>0</v>
      </c>
      <c r="DU144" s="387">
        <v>0</v>
      </c>
      <c r="DV144" s="387">
        <v>0</v>
      </c>
      <c r="DW144" s="690">
        <f t="shared" si="18"/>
        <v>2045.98669309616</v>
      </c>
      <c r="DX144" s="858"/>
      <c r="DY144" s="706"/>
      <c r="DZ144" s="901"/>
      <c r="EA144" s="873"/>
      <c r="EB144" s="859"/>
      <c r="EC144" s="859"/>
      <c r="ED144" s="859"/>
      <c r="EE144" s="859"/>
      <c r="EF144" s="861"/>
      <c r="EG144" s="1107"/>
      <c r="EI144" s="858"/>
      <c r="EJ144" s="877"/>
      <c r="ER144" s="497"/>
    </row>
    <row r="145" spans="1:148" s="278" customFormat="1" ht="12" customHeight="1" outlineLevel="2" x14ac:dyDescent="0.2">
      <c r="A145" s="982" t="s">
        <v>626</v>
      </c>
      <c r="B145" s="976" t="s">
        <v>622</v>
      </c>
      <c r="C145" s="965">
        <v>12</v>
      </c>
      <c r="D145" s="960">
        <f>+IFERROR(VLOOKUP(B145,'Detalle Plan de Adquisiciones'!$G$53:$L$153,6,FALSE),0)</f>
        <v>434643216</v>
      </c>
      <c r="E145" s="866" t="str">
        <f>+'Detalle Plan de Adquisiciones'!F115</f>
        <v>INTERVENTORÍA TÉCNICA, ADMINISTRATIVA, FINANCIERA Y AMBIENTAL AL CONTRATO CUYO OBJETO ES:CONSTRUCCIÓN DEL PAVIMENTO RÍGIDO, ANDENES Y ESPACIO PUBLICO DE LAS CALLES 31, 32, 33 Y 34 ENTRE CARRERA 1 Y CARRERA 5, ID (207-208-209-210). PERTENECIENTE AL SISTEMA ESTRATÉGICO DE TRANSPORTE PUBLICO "SETP" DE LA CIUDAD DE MONTERÍA.</v>
      </c>
      <c r="F145" s="312" t="s">
        <v>410</v>
      </c>
      <c r="G145" s="354">
        <v>0</v>
      </c>
      <c r="H145" s="354">
        <v>0</v>
      </c>
      <c r="I145" s="354">
        <v>0</v>
      </c>
      <c r="J145" s="354">
        <v>0</v>
      </c>
      <c r="K145" s="354">
        <v>0</v>
      </c>
      <c r="L145" s="354">
        <v>0</v>
      </c>
      <c r="M145" s="354">
        <v>0</v>
      </c>
      <c r="N145" s="354">
        <v>0</v>
      </c>
      <c r="O145" s="354">
        <v>0</v>
      </c>
      <c r="P145" s="354">
        <v>0</v>
      </c>
      <c r="Q145" s="354">
        <v>0</v>
      </c>
      <c r="R145" s="354">
        <v>0</v>
      </c>
      <c r="S145" s="354">
        <v>0</v>
      </c>
      <c r="T145" s="354">
        <v>0</v>
      </c>
      <c r="U145" s="354">
        <v>0</v>
      </c>
      <c r="V145" s="354">
        <v>0</v>
      </c>
      <c r="W145" s="354">
        <v>0</v>
      </c>
      <c r="X145" s="354">
        <v>0</v>
      </c>
      <c r="Y145" s="354">
        <v>0</v>
      </c>
      <c r="Z145" s="354">
        <v>0</v>
      </c>
      <c r="AA145" s="354">
        <v>0</v>
      </c>
      <c r="AB145" s="354">
        <v>0</v>
      </c>
      <c r="AC145" s="354">
        <v>0</v>
      </c>
      <c r="AD145" s="354">
        <v>0</v>
      </c>
      <c r="AE145" s="354">
        <v>0</v>
      </c>
      <c r="AF145" s="354">
        <v>0</v>
      </c>
      <c r="AG145" s="354">
        <v>0</v>
      </c>
      <c r="AH145" s="354">
        <v>0</v>
      </c>
      <c r="AI145" s="354">
        <v>0</v>
      </c>
      <c r="AJ145" s="354">
        <v>0</v>
      </c>
      <c r="AK145" s="354">
        <v>0</v>
      </c>
      <c r="AL145" s="354">
        <v>0</v>
      </c>
      <c r="AM145" s="354">
        <v>0</v>
      </c>
      <c r="AN145" s="354">
        <v>0</v>
      </c>
      <c r="AO145" s="354">
        <v>0</v>
      </c>
      <c r="AP145" s="354">
        <v>0</v>
      </c>
      <c r="AQ145" s="354">
        <v>0</v>
      </c>
      <c r="AR145" s="354">
        <v>0</v>
      </c>
      <c r="AS145" s="354">
        <v>0</v>
      </c>
      <c r="AT145" s="354">
        <v>0</v>
      </c>
      <c r="AU145" s="354">
        <v>0</v>
      </c>
      <c r="AV145" s="354">
        <v>0</v>
      </c>
      <c r="AW145" s="354">
        <v>0</v>
      </c>
      <c r="AX145" s="354">
        <v>0</v>
      </c>
      <c r="AY145" s="354">
        <v>0</v>
      </c>
      <c r="AZ145" s="354">
        <v>0</v>
      </c>
      <c r="BA145" s="354">
        <v>0</v>
      </c>
      <c r="BB145" s="354">
        <v>0</v>
      </c>
      <c r="BC145" s="354">
        <v>0</v>
      </c>
      <c r="BD145" s="354">
        <v>0</v>
      </c>
      <c r="BE145" s="354">
        <v>0</v>
      </c>
      <c r="BF145" s="354">
        <v>0</v>
      </c>
      <c r="BG145" s="354">
        <v>0</v>
      </c>
      <c r="BH145" s="354">
        <v>0</v>
      </c>
      <c r="BI145" s="354">
        <v>0</v>
      </c>
      <c r="BJ145" s="354">
        <v>0</v>
      </c>
      <c r="BK145" s="354">
        <v>0</v>
      </c>
      <c r="BL145" s="354">
        <v>0</v>
      </c>
      <c r="BM145" s="354">
        <v>0</v>
      </c>
      <c r="BN145" s="354">
        <v>0</v>
      </c>
      <c r="BO145" s="354">
        <v>0</v>
      </c>
      <c r="BP145" s="354">
        <v>0</v>
      </c>
      <c r="BQ145" s="354">
        <v>0</v>
      </c>
      <c r="BR145" s="354">
        <v>0</v>
      </c>
      <c r="BS145" s="354">
        <v>0</v>
      </c>
      <c r="BT145" s="354">
        <v>0</v>
      </c>
      <c r="BU145" s="354">
        <v>0</v>
      </c>
      <c r="BV145" s="354">
        <v>0</v>
      </c>
      <c r="BW145" s="354">
        <v>0</v>
      </c>
      <c r="BX145" s="354">
        <v>0</v>
      </c>
      <c r="BY145" s="354">
        <v>0</v>
      </c>
      <c r="BZ145" s="354">
        <v>0</v>
      </c>
      <c r="CA145" s="560">
        <v>0</v>
      </c>
      <c r="CB145" s="560">
        <v>0</v>
      </c>
      <c r="CC145" s="560">
        <v>0</v>
      </c>
      <c r="CD145" s="560">
        <v>0</v>
      </c>
      <c r="CE145" s="560">
        <v>0</v>
      </c>
      <c r="CF145" s="560">
        <v>0</v>
      </c>
      <c r="CG145" s="560">
        <v>0</v>
      </c>
      <c r="CH145" s="560">
        <v>0</v>
      </c>
      <c r="CI145" s="560">
        <v>0</v>
      </c>
      <c r="CJ145" s="560">
        <v>0</v>
      </c>
      <c r="CK145" s="560">
        <v>0</v>
      </c>
      <c r="CL145" s="560">
        <v>0</v>
      </c>
      <c r="CM145" s="354">
        <v>0</v>
      </c>
      <c r="CN145" s="354">
        <v>0</v>
      </c>
      <c r="CO145" s="354">
        <v>0</v>
      </c>
      <c r="CP145" s="354">
        <v>0</v>
      </c>
      <c r="CQ145" s="354">
        <v>0</v>
      </c>
      <c r="CR145" s="354">
        <v>0</v>
      </c>
      <c r="CS145" s="354"/>
      <c r="CT145" s="354"/>
      <c r="CU145" s="354"/>
      <c r="CV145" s="354"/>
      <c r="CW145" s="354"/>
      <c r="CX145" s="279"/>
      <c r="CZ145" s="354">
        <v>28.976213999999999</v>
      </c>
      <c r="DA145" s="354">
        <v>28.976213999999999</v>
      </c>
      <c r="DB145" s="354">
        <v>2.0906000000003644E-2</v>
      </c>
      <c r="DC145" s="354"/>
      <c r="DD145" s="354"/>
      <c r="DE145" s="354"/>
      <c r="DF145" s="354"/>
      <c r="DG145" s="354"/>
      <c r="DH145" s="354"/>
      <c r="DI145" s="354"/>
      <c r="DJ145" s="354"/>
      <c r="DK145" s="354">
        <v>0</v>
      </c>
      <c r="DL145" s="354">
        <v>0</v>
      </c>
      <c r="DM145" s="354">
        <v>0</v>
      </c>
      <c r="DN145" s="354">
        <v>0</v>
      </c>
      <c r="DO145" s="354">
        <v>0</v>
      </c>
      <c r="DP145" s="354">
        <v>0</v>
      </c>
      <c r="DQ145" s="354">
        <v>0</v>
      </c>
      <c r="DR145" s="354">
        <v>0</v>
      </c>
      <c r="DS145" s="354">
        <v>0</v>
      </c>
      <c r="DT145" s="354">
        <v>0</v>
      </c>
      <c r="DU145" s="354">
        <v>0</v>
      </c>
      <c r="DV145" s="354">
        <v>0</v>
      </c>
      <c r="DW145" s="688">
        <f t="shared" si="18"/>
        <v>57.973334000000001</v>
      </c>
      <c r="DX145" s="858">
        <f>DW145+DW146+DW147</f>
        <v>434.64321519999993</v>
      </c>
      <c r="DY145" s="704">
        <f>+DX145*1000000</f>
        <v>434643215.19999993</v>
      </c>
      <c r="DZ145" s="1014">
        <f>+DY145-D145</f>
        <v>-0.80000007152557373</v>
      </c>
      <c r="EA145" s="873">
        <f>VLOOKUP(POA!$B145,INTERPLAN,28,0)</f>
        <v>43084</v>
      </c>
      <c r="EB145" s="859">
        <f>+EDATE(EA145,C145)</f>
        <v>43449</v>
      </c>
      <c r="EC145" s="859">
        <f>EB145+30</f>
        <v>43479</v>
      </c>
      <c r="ED145" s="859" t="str">
        <f>CONCATENATE(MONTH(EA145),"-",YEAR(EA145))</f>
        <v>12-2017</v>
      </c>
      <c r="EE145" s="859" t="str">
        <f>CONCATENATE(MONTH(EB145),"-",YEAR(EB145))</f>
        <v>12-2018</v>
      </c>
      <c r="EF145" s="861" t="str">
        <f>CONCATENATE(MONTH(EC145),"-",YEAR(EC145))</f>
        <v>1-2019</v>
      </c>
      <c r="EG145" s="1105">
        <f>+YEAR(EA145)</f>
        <v>2017</v>
      </c>
      <c r="EH145" s="393">
        <f>+DY145</f>
        <v>434643215.19999993</v>
      </c>
      <c r="EI145" s="858">
        <f>+DW145+DW146+DW147</f>
        <v>434.64321519999993</v>
      </c>
      <c r="EJ145" s="877">
        <f>+D145/1000000-EI145</f>
        <v>8.000000661922968E-7</v>
      </c>
      <c r="ER145" s="497"/>
    </row>
    <row r="146" spans="1:148" s="278" customFormat="1" ht="12" customHeight="1" outlineLevel="2" x14ac:dyDescent="0.2">
      <c r="A146" s="983"/>
      <c r="B146" s="977"/>
      <c r="C146" s="966"/>
      <c r="D146" s="961"/>
      <c r="E146" s="867"/>
      <c r="F146" s="311" t="s">
        <v>210</v>
      </c>
      <c r="G146" s="363">
        <v>0</v>
      </c>
      <c r="H146" s="363">
        <v>0</v>
      </c>
      <c r="I146" s="363">
        <v>0</v>
      </c>
      <c r="J146" s="363">
        <v>0</v>
      </c>
      <c r="K146" s="363">
        <v>0</v>
      </c>
      <c r="L146" s="363">
        <v>0</v>
      </c>
      <c r="M146" s="363">
        <v>0</v>
      </c>
      <c r="N146" s="363">
        <v>0</v>
      </c>
      <c r="O146" s="363">
        <v>0</v>
      </c>
      <c r="P146" s="363">
        <v>0</v>
      </c>
      <c r="Q146" s="363">
        <v>0</v>
      </c>
      <c r="R146" s="363">
        <v>0</v>
      </c>
      <c r="S146" s="363">
        <v>0</v>
      </c>
      <c r="T146" s="363">
        <v>0</v>
      </c>
      <c r="U146" s="363">
        <v>0</v>
      </c>
      <c r="V146" s="363">
        <v>0</v>
      </c>
      <c r="W146" s="363">
        <v>0</v>
      </c>
      <c r="X146" s="363">
        <v>0</v>
      </c>
      <c r="Y146" s="363">
        <v>0</v>
      </c>
      <c r="Z146" s="363">
        <v>0</v>
      </c>
      <c r="AA146" s="363">
        <v>0</v>
      </c>
      <c r="AB146" s="363">
        <v>0</v>
      </c>
      <c r="AC146" s="363">
        <v>0</v>
      </c>
      <c r="AD146" s="363">
        <v>0</v>
      </c>
      <c r="AE146" s="363">
        <v>0</v>
      </c>
      <c r="AF146" s="363">
        <v>0</v>
      </c>
      <c r="AG146" s="363">
        <v>0</v>
      </c>
      <c r="AH146" s="363">
        <v>0</v>
      </c>
      <c r="AI146" s="363">
        <v>0</v>
      </c>
      <c r="AJ146" s="363">
        <v>0</v>
      </c>
      <c r="AK146" s="363">
        <v>0</v>
      </c>
      <c r="AL146" s="363">
        <v>0</v>
      </c>
      <c r="AM146" s="363">
        <v>0</v>
      </c>
      <c r="AN146" s="363">
        <v>0</v>
      </c>
      <c r="AO146" s="363">
        <v>0</v>
      </c>
      <c r="AP146" s="363">
        <v>0</v>
      </c>
      <c r="AQ146" s="363">
        <v>0</v>
      </c>
      <c r="AR146" s="363">
        <v>0</v>
      </c>
      <c r="AS146" s="363">
        <v>0</v>
      </c>
      <c r="AT146" s="363">
        <v>0</v>
      </c>
      <c r="AU146" s="363">
        <v>0</v>
      </c>
      <c r="AV146" s="363">
        <v>0</v>
      </c>
      <c r="AW146" s="363">
        <v>0</v>
      </c>
      <c r="AX146" s="363">
        <v>0</v>
      </c>
      <c r="AY146" s="363">
        <v>0</v>
      </c>
      <c r="AZ146" s="363">
        <v>0</v>
      </c>
      <c r="BA146" s="363">
        <v>0</v>
      </c>
      <c r="BB146" s="363">
        <v>0</v>
      </c>
      <c r="BC146" s="363">
        <v>0</v>
      </c>
      <c r="BD146" s="363">
        <v>0</v>
      </c>
      <c r="BE146" s="363">
        <v>0</v>
      </c>
      <c r="BF146" s="363">
        <v>0</v>
      </c>
      <c r="BG146" s="363">
        <v>0</v>
      </c>
      <c r="BH146" s="363">
        <v>0</v>
      </c>
      <c r="BI146" s="363">
        <v>0</v>
      </c>
      <c r="BJ146" s="363">
        <v>0</v>
      </c>
      <c r="BK146" s="363">
        <v>0</v>
      </c>
      <c r="BL146" s="363">
        <v>0</v>
      </c>
      <c r="BM146" s="363">
        <v>0</v>
      </c>
      <c r="BN146" s="363">
        <v>0</v>
      </c>
      <c r="BO146" s="363">
        <v>0</v>
      </c>
      <c r="BP146" s="363">
        <v>0</v>
      </c>
      <c r="BQ146" s="363">
        <v>0</v>
      </c>
      <c r="BR146" s="363">
        <v>0</v>
      </c>
      <c r="BS146" s="363">
        <v>0</v>
      </c>
      <c r="BT146" s="363">
        <v>0</v>
      </c>
      <c r="BU146" s="363">
        <v>0</v>
      </c>
      <c r="BV146" s="363">
        <v>0</v>
      </c>
      <c r="BW146" s="363">
        <v>0</v>
      </c>
      <c r="BX146" s="363">
        <v>0</v>
      </c>
      <c r="BY146" s="363">
        <v>0</v>
      </c>
      <c r="BZ146" s="363">
        <v>0</v>
      </c>
      <c r="CA146" s="363">
        <v>0</v>
      </c>
      <c r="CB146" s="363">
        <v>0</v>
      </c>
      <c r="CC146" s="363">
        <v>0</v>
      </c>
      <c r="CD146" s="363">
        <v>0</v>
      </c>
      <c r="CE146" s="363">
        <v>0</v>
      </c>
      <c r="CF146" s="363">
        <v>0</v>
      </c>
      <c r="CG146" s="363">
        <v>0</v>
      </c>
      <c r="CH146" s="363">
        <v>0</v>
      </c>
      <c r="CI146" s="363">
        <v>0</v>
      </c>
      <c r="CJ146" s="363">
        <v>0</v>
      </c>
      <c r="CK146" s="363">
        <v>0</v>
      </c>
      <c r="CL146" s="363">
        <v>0</v>
      </c>
      <c r="CM146" s="363">
        <v>0</v>
      </c>
      <c r="CN146" s="363">
        <v>0</v>
      </c>
      <c r="CO146" s="363">
        <v>0</v>
      </c>
      <c r="CP146" s="363">
        <v>0</v>
      </c>
      <c r="CQ146" s="363">
        <v>0</v>
      </c>
      <c r="CR146" s="363">
        <v>0</v>
      </c>
      <c r="CS146" s="363"/>
      <c r="CT146" s="363"/>
      <c r="CU146" s="363"/>
      <c r="CV146" s="363"/>
      <c r="CW146" s="363"/>
      <c r="CX146" s="363">
        <v>0</v>
      </c>
      <c r="CY146" s="363"/>
      <c r="CZ146" s="363">
        <v>0</v>
      </c>
      <c r="DA146" s="363"/>
      <c r="DB146" s="363"/>
      <c r="DC146" s="363"/>
      <c r="DD146" s="363"/>
      <c r="DE146" s="363"/>
      <c r="DF146" s="363"/>
      <c r="DG146" s="363"/>
      <c r="DH146" s="363"/>
      <c r="DI146" s="363">
        <v>0</v>
      </c>
      <c r="DJ146" s="363">
        <v>0</v>
      </c>
      <c r="DK146" s="363">
        <v>0</v>
      </c>
      <c r="DL146" s="363">
        <v>0</v>
      </c>
      <c r="DM146" s="363">
        <v>0</v>
      </c>
      <c r="DN146" s="363">
        <v>0</v>
      </c>
      <c r="DO146" s="363">
        <v>0</v>
      </c>
      <c r="DP146" s="363">
        <v>0</v>
      </c>
      <c r="DQ146" s="363">
        <v>0</v>
      </c>
      <c r="DR146" s="363">
        <v>0</v>
      </c>
      <c r="DS146" s="363">
        <v>0</v>
      </c>
      <c r="DT146" s="363">
        <v>0</v>
      </c>
      <c r="DU146" s="363">
        <v>0</v>
      </c>
      <c r="DV146" s="363">
        <v>0</v>
      </c>
      <c r="DW146" s="689">
        <f t="shared" si="18"/>
        <v>0</v>
      </c>
      <c r="DX146" s="858"/>
      <c r="DY146" s="705"/>
      <c r="DZ146" s="1015"/>
      <c r="EA146" s="873"/>
      <c r="EB146" s="859"/>
      <c r="EC146" s="859"/>
      <c r="ED146" s="859"/>
      <c r="EE146" s="859"/>
      <c r="EF146" s="861"/>
      <c r="EG146" s="1106"/>
      <c r="EI146" s="858"/>
      <c r="EJ146" s="877"/>
      <c r="ER146" s="497"/>
    </row>
    <row r="147" spans="1:148" s="278" customFormat="1" ht="17.25" customHeight="1" outlineLevel="2" thickBot="1" x14ac:dyDescent="0.25">
      <c r="A147" s="984"/>
      <c r="B147" s="978"/>
      <c r="C147" s="967"/>
      <c r="D147" s="962"/>
      <c r="E147" s="875"/>
      <c r="F147" s="313" t="s">
        <v>211</v>
      </c>
      <c r="G147" s="387">
        <v>0</v>
      </c>
      <c r="H147" s="387">
        <v>0</v>
      </c>
      <c r="I147" s="387">
        <v>0</v>
      </c>
      <c r="J147" s="387">
        <v>0</v>
      </c>
      <c r="K147" s="387">
        <v>0</v>
      </c>
      <c r="L147" s="387">
        <v>0</v>
      </c>
      <c r="M147" s="387">
        <v>0</v>
      </c>
      <c r="N147" s="387">
        <v>0</v>
      </c>
      <c r="O147" s="387">
        <v>0</v>
      </c>
      <c r="P147" s="387">
        <v>0</v>
      </c>
      <c r="Q147" s="387">
        <v>0</v>
      </c>
      <c r="R147" s="387">
        <v>0</v>
      </c>
      <c r="S147" s="387">
        <v>0</v>
      </c>
      <c r="T147" s="387">
        <v>0</v>
      </c>
      <c r="U147" s="387">
        <v>0</v>
      </c>
      <c r="V147" s="387">
        <v>0</v>
      </c>
      <c r="W147" s="387">
        <v>0</v>
      </c>
      <c r="X147" s="387">
        <v>0</v>
      </c>
      <c r="Y147" s="387">
        <v>0</v>
      </c>
      <c r="Z147" s="387">
        <v>0</v>
      </c>
      <c r="AA147" s="387">
        <v>0</v>
      </c>
      <c r="AB147" s="387">
        <v>0</v>
      </c>
      <c r="AC147" s="387">
        <v>0</v>
      </c>
      <c r="AD147" s="387">
        <v>0</v>
      </c>
      <c r="AE147" s="387">
        <v>0</v>
      </c>
      <c r="AF147" s="387">
        <v>0</v>
      </c>
      <c r="AG147" s="387">
        <v>0</v>
      </c>
      <c r="AH147" s="387">
        <v>0</v>
      </c>
      <c r="AI147" s="387">
        <v>0</v>
      </c>
      <c r="AJ147" s="387">
        <v>0</v>
      </c>
      <c r="AK147" s="387">
        <v>0</v>
      </c>
      <c r="AL147" s="387">
        <v>0</v>
      </c>
      <c r="AM147" s="387">
        <v>0</v>
      </c>
      <c r="AN147" s="387">
        <v>0</v>
      </c>
      <c r="AO147" s="387">
        <v>0</v>
      </c>
      <c r="AP147" s="387">
        <v>0</v>
      </c>
      <c r="AQ147" s="387">
        <v>0</v>
      </c>
      <c r="AR147" s="387">
        <v>0</v>
      </c>
      <c r="AS147" s="387">
        <v>0</v>
      </c>
      <c r="AT147" s="387">
        <v>0</v>
      </c>
      <c r="AU147" s="387">
        <v>0</v>
      </c>
      <c r="AV147" s="387">
        <v>0</v>
      </c>
      <c r="AW147" s="387">
        <v>0</v>
      </c>
      <c r="AX147" s="387">
        <v>0</v>
      </c>
      <c r="AY147" s="387">
        <v>0</v>
      </c>
      <c r="AZ147" s="387">
        <v>0</v>
      </c>
      <c r="BA147" s="387">
        <v>0</v>
      </c>
      <c r="BB147" s="387">
        <v>0</v>
      </c>
      <c r="BC147" s="387">
        <v>0</v>
      </c>
      <c r="BD147" s="387">
        <v>0</v>
      </c>
      <c r="BE147" s="387">
        <v>0</v>
      </c>
      <c r="BF147" s="387">
        <v>0</v>
      </c>
      <c r="BG147" s="387">
        <v>0</v>
      </c>
      <c r="BH147" s="387">
        <v>0</v>
      </c>
      <c r="BI147" s="387">
        <v>0</v>
      </c>
      <c r="BJ147" s="387">
        <v>0</v>
      </c>
      <c r="BK147" s="387">
        <v>0</v>
      </c>
      <c r="BL147" s="387">
        <v>0</v>
      </c>
      <c r="BM147" s="387">
        <v>0</v>
      </c>
      <c r="BN147" s="387">
        <v>0</v>
      </c>
      <c r="BO147" s="387">
        <v>0</v>
      </c>
      <c r="BP147" s="387">
        <v>0</v>
      </c>
      <c r="BQ147" s="387">
        <v>0</v>
      </c>
      <c r="BR147" s="387">
        <v>0</v>
      </c>
      <c r="BS147" s="387">
        <v>0</v>
      </c>
      <c r="BT147" s="387">
        <v>0</v>
      </c>
      <c r="BU147" s="387">
        <v>0</v>
      </c>
      <c r="BV147" s="387">
        <v>0</v>
      </c>
      <c r="BW147" s="387">
        <v>0</v>
      </c>
      <c r="BX147" s="387">
        <v>0</v>
      </c>
      <c r="BY147" s="387">
        <v>0</v>
      </c>
      <c r="BZ147" s="387">
        <v>0</v>
      </c>
      <c r="CA147" s="387">
        <v>0</v>
      </c>
      <c r="CB147" s="387">
        <v>0</v>
      </c>
      <c r="CC147" s="387">
        <v>0</v>
      </c>
      <c r="CD147" s="387">
        <v>0</v>
      </c>
      <c r="CE147" s="387">
        <v>0</v>
      </c>
      <c r="CF147" s="387">
        <v>0</v>
      </c>
      <c r="CG147" s="387">
        <v>0</v>
      </c>
      <c r="CH147" s="387">
        <v>0</v>
      </c>
      <c r="CI147" s="387">
        <v>0</v>
      </c>
      <c r="CJ147" s="387">
        <v>0</v>
      </c>
      <c r="CK147" s="387">
        <v>0</v>
      </c>
      <c r="CL147" s="387">
        <v>0</v>
      </c>
      <c r="CM147" s="387">
        <v>0</v>
      </c>
      <c r="CN147" s="387">
        <v>0</v>
      </c>
      <c r="CO147" s="387">
        <v>0</v>
      </c>
      <c r="CP147" s="387">
        <v>0</v>
      </c>
      <c r="CQ147" s="387">
        <v>0</v>
      </c>
      <c r="CR147" s="387">
        <v>0</v>
      </c>
      <c r="CS147" s="387"/>
      <c r="CT147" s="387"/>
      <c r="CU147" s="387"/>
      <c r="CV147" s="387"/>
      <c r="CW147" s="387"/>
      <c r="CX147" s="746"/>
      <c r="CY147" s="746"/>
      <c r="CZ147" s="387">
        <v>0</v>
      </c>
      <c r="DA147" s="387">
        <v>28.976213999999999</v>
      </c>
      <c r="DB147" s="387">
        <v>0</v>
      </c>
      <c r="DC147" s="387">
        <v>28.976213999999999</v>
      </c>
      <c r="DD147" s="827">
        <v>57.952427999999998</v>
      </c>
      <c r="DE147" s="387">
        <v>0</v>
      </c>
      <c r="DF147" s="387">
        <f>(+$D$145/1000000*0.8/12)*2</f>
        <v>57.952428800000007</v>
      </c>
      <c r="DG147" s="387">
        <f>(+$D$145/1000000*0.8/12)*2</f>
        <v>57.952428800000007</v>
      </c>
      <c r="DH147" s="387">
        <f>+$D$145/1000000*0.8/12</f>
        <v>28.976214400000003</v>
      </c>
      <c r="DI147" s="387">
        <v>28.955309</v>
      </c>
      <c r="DJ147" s="387">
        <v>86.928644199999894</v>
      </c>
      <c r="DK147" s="387">
        <v>0</v>
      </c>
      <c r="DL147" s="387">
        <v>0</v>
      </c>
      <c r="DM147" s="387">
        <v>0</v>
      </c>
      <c r="DN147" s="387">
        <v>0</v>
      </c>
      <c r="DO147" s="387">
        <v>0</v>
      </c>
      <c r="DP147" s="387">
        <v>0</v>
      </c>
      <c r="DQ147" s="387">
        <v>0</v>
      </c>
      <c r="DR147" s="387">
        <v>0</v>
      </c>
      <c r="DS147" s="387">
        <v>0</v>
      </c>
      <c r="DT147" s="387">
        <v>0</v>
      </c>
      <c r="DU147" s="387">
        <v>0</v>
      </c>
      <c r="DV147" s="387">
        <v>0</v>
      </c>
      <c r="DW147" s="690">
        <f t="shared" si="18"/>
        <v>376.66988119999991</v>
      </c>
      <c r="DX147" s="858"/>
      <c r="DY147" s="706"/>
      <c r="DZ147" s="1016"/>
      <c r="EA147" s="873"/>
      <c r="EB147" s="859"/>
      <c r="EC147" s="859"/>
      <c r="ED147" s="859"/>
      <c r="EE147" s="859"/>
      <c r="EF147" s="861"/>
      <c r="EG147" s="1107"/>
      <c r="EI147" s="858"/>
      <c r="EJ147" s="877"/>
      <c r="ER147" s="497"/>
    </row>
    <row r="148" spans="1:148" s="278" customFormat="1" ht="24" outlineLevel="2" x14ac:dyDescent="0.2">
      <c r="A148" s="998" t="s">
        <v>586</v>
      </c>
      <c r="B148" s="1030" t="s">
        <v>642</v>
      </c>
      <c r="C148" s="1031">
        <v>12</v>
      </c>
      <c r="D148" s="1032">
        <f>+'Detalle Plan de Adquisiciones'!M25</f>
        <v>11417683759</v>
      </c>
      <c r="E148" s="889" t="str">
        <f>+'Detalle Plan de Adquisiciones'!F25</f>
        <v>IMPLEMENTACIÓN DEL SISTEMA DE SEMAFORIZACIÓN  Y SISTEMA INTELIGENTE DE TRANSPORTE - CENTRAL SEMAFORICA</v>
      </c>
      <c r="F148" s="316" t="s">
        <v>410</v>
      </c>
      <c r="G148" s="383">
        <v>0</v>
      </c>
      <c r="H148" s="383">
        <v>0</v>
      </c>
      <c r="I148" s="383">
        <v>0</v>
      </c>
      <c r="J148" s="383">
        <v>0</v>
      </c>
      <c r="K148" s="383">
        <v>0</v>
      </c>
      <c r="L148" s="383">
        <v>0</v>
      </c>
      <c r="M148" s="383">
        <v>0</v>
      </c>
      <c r="N148" s="383">
        <v>0</v>
      </c>
      <c r="O148" s="383">
        <v>0</v>
      </c>
      <c r="P148" s="383">
        <v>0</v>
      </c>
      <c r="Q148" s="383">
        <v>0</v>
      </c>
      <c r="R148" s="383">
        <v>0</v>
      </c>
      <c r="S148" s="383">
        <v>0</v>
      </c>
      <c r="T148" s="383">
        <v>0</v>
      </c>
      <c r="U148" s="383">
        <v>0</v>
      </c>
      <c r="V148" s="383">
        <v>0</v>
      </c>
      <c r="W148" s="383">
        <v>0</v>
      </c>
      <c r="X148" s="383">
        <v>0</v>
      </c>
      <c r="Y148" s="383">
        <v>0</v>
      </c>
      <c r="Z148" s="383">
        <v>0</v>
      </c>
      <c r="AA148" s="383">
        <v>0</v>
      </c>
      <c r="AB148" s="383">
        <v>0</v>
      </c>
      <c r="AC148" s="383">
        <v>0</v>
      </c>
      <c r="AD148" s="383">
        <v>0</v>
      </c>
      <c r="AE148" s="383">
        <v>0</v>
      </c>
      <c r="AF148" s="383">
        <v>0</v>
      </c>
      <c r="AG148" s="383">
        <v>0</v>
      </c>
      <c r="AH148" s="383">
        <v>0</v>
      </c>
      <c r="AI148" s="383">
        <v>0</v>
      </c>
      <c r="AJ148" s="383">
        <v>0</v>
      </c>
      <c r="AK148" s="383">
        <v>0</v>
      </c>
      <c r="AL148" s="383">
        <v>0</v>
      </c>
      <c r="AM148" s="383">
        <v>0</v>
      </c>
      <c r="AN148" s="383">
        <v>0</v>
      </c>
      <c r="AO148" s="383">
        <v>0</v>
      </c>
      <c r="AP148" s="383">
        <v>0</v>
      </c>
      <c r="AQ148" s="383">
        <v>0</v>
      </c>
      <c r="AR148" s="383">
        <v>0</v>
      </c>
      <c r="AS148" s="383">
        <v>0</v>
      </c>
      <c r="AT148" s="383">
        <v>0</v>
      </c>
      <c r="AU148" s="383">
        <v>0</v>
      </c>
      <c r="AV148" s="383">
        <v>0</v>
      </c>
      <c r="AW148" s="383">
        <v>0</v>
      </c>
      <c r="AX148" s="383">
        <v>0</v>
      </c>
      <c r="AY148" s="383">
        <v>0</v>
      </c>
      <c r="AZ148" s="383">
        <v>0</v>
      </c>
      <c r="BA148" s="383">
        <v>0</v>
      </c>
      <c r="BB148" s="383">
        <v>0</v>
      </c>
      <c r="BC148" s="383">
        <v>0</v>
      </c>
      <c r="BD148" s="383">
        <v>0</v>
      </c>
      <c r="BE148" s="383">
        <v>0</v>
      </c>
      <c r="BF148" s="383">
        <v>0</v>
      </c>
      <c r="BG148" s="383">
        <v>0</v>
      </c>
      <c r="BH148" s="383">
        <v>0</v>
      </c>
      <c r="BI148" s="383">
        <v>0</v>
      </c>
      <c r="BJ148" s="383">
        <v>0</v>
      </c>
      <c r="BK148" s="383">
        <v>0</v>
      </c>
      <c r="BL148" s="383">
        <v>0</v>
      </c>
      <c r="BM148" s="383">
        <v>0</v>
      </c>
      <c r="BN148" s="383">
        <v>0</v>
      </c>
      <c r="BO148" s="383">
        <v>0</v>
      </c>
      <c r="BP148" s="383">
        <v>0</v>
      </c>
      <c r="BQ148" s="383">
        <v>0</v>
      </c>
      <c r="BR148" s="383">
        <v>0</v>
      </c>
      <c r="BS148" s="383">
        <v>0</v>
      </c>
      <c r="BT148" s="383">
        <v>0</v>
      </c>
      <c r="BU148" s="383">
        <v>0</v>
      </c>
      <c r="BV148" s="383">
        <v>0</v>
      </c>
      <c r="BW148" s="383">
        <v>0</v>
      </c>
      <c r="BX148" s="383">
        <v>0</v>
      </c>
      <c r="BY148" s="383">
        <v>0</v>
      </c>
      <c r="BZ148" s="383">
        <v>0</v>
      </c>
      <c r="CA148" s="383">
        <v>0</v>
      </c>
      <c r="CB148" s="383">
        <v>0</v>
      </c>
      <c r="CC148" s="383">
        <v>0</v>
      </c>
      <c r="CD148" s="383">
        <v>0</v>
      </c>
      <c r="CE148" s="383">
        <v>0</v>
      </c>
      <c r="CF148" s="383">
        <v>0</v>
      </c>
      <c r="CG148" s="383">
        <v>0</v>
      </c>
      <c r="CH148" s="383">
        <v>0</v>
      </c>
      <c r="CI148" s="383">
        <v>0</v>
      </c>
      <c r="CJ148" s="383">
        <v>0</v>
      </c>
      <c r="CK148" s="383">
        <v>0</v>
      </c>
      <c r="CL148" s="383">
        <v>0</v>
      </c>
      <c r="CM148" s="744"/>
      <c r="CN148" s="744"/>
      <c r="CO148" s="744"/>
      <c r="CP148" s="744"/>
      <c r="CQ148" s="744"/>
      <c r="CR148" s="744"/>
      <c r="CS148" s="744"/>
      <c r="CT148" s="383"/>
      <c r="CU148" s="383"/>
      <c r="CV148" s="383"/>
      <c r="CW148" s="383">
        <v>0</v>
      </c>
      <c r="CX148" s="383">
        <v>0</v>
      </c>
      <c r="CY148" s="383">
        <v>0</v>
      </c>
      <c r="CZ148" s="383">
        <v>0</v>
      </c>
      <c r="DA148" s="383">
        <v>0</v>
      </c>
      <c r="DB148" s="383">
        <v>0</v>
      </c>
      <c r="DC148" s="383">
        <v>0</v>
      </c>
      <c r="DD148" s="383">
        <v>0</v>
      </c>
      <c r="DE148" s="278">
        <v>0</v>
      </c>
      <c r="DF148" s="383">
        <f>+$D$148/1000000*0.3</f>
        <v>3425.3051277</v>
      </c>
      <c r="DG148" s="383">
        <v>887.73023179000006</v>
      </c>
      <c r="DH148" s="383">
        <v>887.73023179000006</v>
      </c>
      <c r="DI148" s="383">
        <v>887.73023179000006</v>
      </c>
      <c r="DJ148" s="383">
        <v>887.73023179000006</v>
      </c>
      <c r="DK148" s="383">
        <v>887.73023179000006</v>
      </c>
      <c r="DL148" s="383">
        <v>0</v>
      </c>
      <c r="DM148" s="383">
        <v>0</v>
      </c>
      <c r="DN148" s="383">
        <v>0</v>
      </c>
      <c r="DO148" s="383">
        <v>0</v>
      </c>
      <c r="DP148" s="383">
        <v>0</v>
      </c>
      <c r="DQ148" s="383">
        <v>0</v>
      </c>
      <c r="DR148" s="383">
        <v>0</v>
      </c>
      <c r="DS148" s="383">
        <v>0</v>
      </c>
      <c r="DT148" s="383">
        <v>0</v>
      </c>
      <c r="DU148" s="383">
        <v>0</v>
      </c>
      <c r="DV148" s="383">
        <v>0</v>
      </c>
      <c r="DW148" s="745">
        <f t="shared" ref="DW148:DW153" si="19">SUM(G148:DV148)</f>
        <v>7863.9562866500009</v>
      </c>
      <c r="DX148" s="869">
        <f>DW148+DW149+DW150</f>
        <v>11417.683758650001</v>
      </c>
      <c r="DY148" s="704">
        <f>+DX148*1000000</f>
        <v>11417683758.65</v>
      </c>
      <c r="DZ148" s="899">
        <f>+DY148-D148</f>
        <v>-0.35000038146972656</v>
      </c>
      <c r="EA148" s="873">
        <f>VLOOKUP([12]POA!$B100,'[12]Detalle Plan de Adquisiciones'!$G$6:$AF$65,23,0)</f>
        <v>42755</v>
      </c>
      <c r="EB148" s="859">
        <f>VLOOKUP([12]POA!$B100,'[12]Detalle Plan de Adquisiciones'!$G$6:$AF$65,25,0)</f>
        <v>43120</v>
      </c>
      <c r="EC148" s="859">
        <f>EB148+30</f>
        <v>43150</v>
      </c>
      <c r="ED148" s="859" t="str">
        <f>CONCATENATE(MONTH(EA148),"-",YEAR(EA148))</f>
        <v>1-2017</v>
      </c>
      <c r="EE148" s="859" t="str">
        <f>CONCATENATE(MONTH(EB148),"-",YEAR(EB148))</f>
        <v>1-2018</v>
      </c>
      <c r="EF148" s="861" t="str">
        <f>CONCATENATE(MONTH(EC148),"-",YEAR(EC148))</f>
        <v>2-2018</v>
      </c>
      <c r="EG148" s="1105">
        <f>+YEAR(EA148)</f>
        <v>2017</v>
      </c>
      <c r="EH148" s="393">
        <f>+DY148</f>
        <v>11417683758.65</v>
      </c>
      <c r="EI148" s="858">
        <f>+DW148+DW149+DW150</f>
        <v>11417.683758650001</v>
      </c>
      <c r="EJ148" s="877">
        <f>+D148/1000000-EI148</f>
        <v>3.4999902709387243E-7</v>
      </c>
      <c r="ER148" s="625"/>
    </row>
    <row r="149" spans="1:148" s="278" customFormat="1" outlineLevel="2" x14ac:dyDescent="0.2">
      <c r="A149" s="983"/>
      <c r="B149" s="977"/>
      <c r="C149" s="966"/>
      <c r="D149" s="1033"/>
      <c r="E149" s="867"/>
      <c r="F149" s="311" t="s">
        <v>210</v>
      </c>
      <c r="G149" s="363">
        <v>0</v>
      </c>
      <c r="H149" s="363">
        <v>0</v>
      </c>
      <c r="I149" s="363">
        <v>0</v>
      </c>
      <c r="J149" s="363">
        <v>0</v>
      </c>
      <c r="K149" s="363">
        <v>0</v>
      </c>
      <c r="L149" s="363">
        <v>0</v>
      </c>
      <c r="M149" s="363">
        <v>0</v>
      </c>
      <c r="N149" s="363">
        <v>0</v>
      </c>
      <c r="O149" s="363">
        <v>0</v>
      </c>
      <c r="P149" s="363">
        <v>0</v>
      </c>
      <c r="Q149" s="363">
        <v>0</v>
      </c>
      <c r="R149" s="363">
        <v>0</v>
      </c>
      <c r="S149" s="363">
        <v>0</v>
      </c>
      <c r="T149" s="363">
        <v>0</v>
      </c>
      <c r="U149" s="363">
        <v>0</v>
      </c>
      <c r="V149" s="363">
        <v>0</v>
      </c>
      <c r="W149" s="363">
        <v>0</v>
      </c>
      <c r="X149" s="363">
        <v>0</v>
      </c>
      <c r="Y149" s="363">
        <v>0</v>
      </c>
      <c r="Z149" s="363">
        <v>0</v>
      </c>
      <c r="AA149" s="363">
        <v>0</v>
      </c>
      <c r="AB149" s="363">
        <v>0</v>
      </c>
      <c r="AC149" s="363">
        <v>0</v>
      </c>
      <c r="AD149" s="363">
        <v>0</v>
      </c>
      <c r="AE149" s="363">
        <v>0</v>
      </c>
      <c r="AF149" s="363">
        <v>0</v>
      </c>
      <c r="AG149" s="363">
        <v>0</v>
      </c>
      <c r="AH149" s="363">
        <v>0</v>
      </c>
      <c r="AI149" s="363">
        <v>0</v>
      </c>
      <c r="AJ149" s="363">
        <v>0</v>
      </c>
      <c r="AK149" s="363">
        <v>0</v>
      </c>
      <c r="AL149" s="363">
        <v>0</v>
      </c>
      <c r="AM149" s="363">
        <v>0</v>
      </c>
      <c r="AN149" s="363">
        <v>0</v>
      </c>
      <c r="AO149" s="363">
        <v>0</v>
      </c>
      <c r="AP149" s="363">
        <v>0</v>
      </c>
      <c r="AQ149" s="363">
        <v>0</v>
      </c>
      <c r="AR149" s="363">
        <v>0</v>
      </c>
      <c r="AS149" s="363">
        <v>0</v>
      </c>
      <c r="AT149" s="363">
        <v>0</v>
      </c>
      <c r="AU149" s="363">
        <v>0</v>
      </c>
      <c r="AV149" s="363">
        <v>0</v>
      </c>
      <c r="AW149" s="363">
        <v>0</v>
      </c>
      <c r="AX149" s="363">
        <v>0</v>
      </c>
      <c r="AY149" s="363">
        <v>0</v>
      </c>
      <c r="AZ149" s="363">
        <v>0</v>
      </c>
      <c r="BA149" s="363">
        <v>0</v>
      </c>
      <c r="BB149" s="363">
        <v>0</v>
      </c>
      <c r="BC149" s="363">
        <v>0</v>
      </c>
      <c r="BD149" s="363">
        <v>0</v>
      </c>
      <c r="BE149" s="363">
        <v>0</v>
      </c>
      <c r="BF149" s="363">
        <v>0</v>
      </c>
      <c r="BG149" s="363">
        <v>0</v>
      </c>
      <c r="BH149" s="363">
        <v>0</v>
      </c>
      <c r="BI149" s="363">
        <v>0</v>
      </c>
      <c r="BJ149" s="363">
        <v>0</v>
      </c>
      <c r="BK149" s="363">
        <v>0</v>
      </c>
      <c r="BL149" s="363">
        <v>0</v>
      </c>
      <c r="BM149" s="363">
        <v>0</v>
      </c>
      <c r="BN149" s="363">
        <v>0</v>
      </c>
      <c r="BO149" s="363">
        <v>0</v>
      </c>
      <c r="BP149" s="363">
        <v>0</v>
      </c>
      <c r="BQ149" s="363">
        <v>0</v>
      </c>
      <c r="BR149" s="363">
        <v>0</v>
      </c>
      <c r="BS149" s="363">
        <v>0</v>
      </c>
      <c r="BT149" s="363">
        <v>0</v>
      </c>
      <c r="BU149" s="363">
        <v>0</v>
      </c>
      <c r="BV149" s="363">
        <v>0</v>
      </c>
      <c r="BW149" s="363">
        <v>0</v>
      </c>
      <c r="BX149" s="363">
        <v>0</v>
      </c>
      <c r="BY149" s="363">
        <v>0</v>
      </c>
      <c r="BZ149" s="363">
        <v>0</v>
      </c>
      <c r="CA149" s="363">
        <v>0</v>
      </c>
      <c r="CB149" s="363">
        <v>0</v>
      </c>
      <c r="CC149" s="363">
        <v>0</v>
      </c>
      <c r="CD149" s="363">
        <v>0</v>
      </c>
      <c r="CE149" s="363">
        <v>0</v>
      </c>
      <c r="CF149" s="363">
        <v>0</v>
      </c>
      <c r="CG149" s="363">
        <v>0</v>
      </c>
      <c r="CH149" s="363">
        <v>0</v>
      </c>
      <c r="CI149" s="363">
        <v>0</v>
      </c>
      <c r="CJ149" s="363">
        <v>0</v>
      </c>
      <c r="CK149" s="363">
        <v>0</v>
      </c>
      <c r="CL149" s="363">
        <v>0</v>
      </c>
      <c r="CM149" s="363">
        <v>0</v>
      </c>
      <c r="CN149" s="363">
        <v>0</v>
      </c>
      <c r="CO149" s="363">
        <v>0</v>
      </c>
      <c r="CP149" s="363">
        <v>0</v>
      </c>
      <c r="CQ149" s="363"/>
      <c r="CR149" s="363"/>
      <c r="CS149" s="363"/>
      <c r="CT149" s="363">
        <v>0</v>
      </c>
      <c r="CU149" s="363">
        <v>0</v>
      </c>
      <c r="CV149" s="363">
        <v>0</v>
      </c>
      <c r="CW149" s="363">
        <v>0</v>
      </c>
      <c r="CX149" s="363"/>
      <c r="CY149" s="363"/>
      <c r="CZ149" s="363"/>
      <c r="DA149" s="363"/>
      <c r="DB149" s="363"/>
      <c r="DC149" s="363"/>
      <c r="DD149" s="363"/>
      <c r="DE149" s="363"/>
      <c r="DF149" s="363"/>
      <c r="DG149" s="363"/>
      <c r="DH149" s="363"/>
      <c r="DI149" s="363"/>
      <c r="DJ149" s="363"/>
      <c r="DK149" s="363"/>
      <c r="DL149" s="363">
        <v>0</v>
      </c>
      <c r="DM149" s="363">
        <v>0</v>
      </c>
      <c r="DN149" s="363">
        <v>0</v>
      </c>
      <c r="DO149" s="363">
        <v>0</v>
      </c>
      <c r="DP149" s="363">
        <v>0</v>
      </c>
      <c r="DQ149" s="363">
        <v>0</v>
      </c>
      <c r="DR149" s="363">
        <v>0</v>
      </c>
      <c r="DS149" s="363">
        <v>0</v>
      </c>
      <c r="DT149" s="363">
        <v>0</v>
      </c>
      <c r="DU149" s="363">
        <v>0</v>
      </c>
      <c r="DV149" s="363">
        <v>0</v>
      </c>
      <c r="DW149" s="692">
        <f t="shared" si="19"/>
        <v>0</v>
      </c>
      <c r="DX149" s="890"/>
      <c r="DY149" s="705"/>
      <c r="DZ149" s="900"/>
      <c r="EA149" s="873"/>
      <c r="EB149" s="859"/>
      <c r="EC149" s="859"/>
      <c r="ED149" s="859"/>
      <c r="EE149" s="859"/>
      <c r="EF149" s="861"/>
      <c r="EG149" s="1106"/>
      <c r="EI149" s="858"/>
      <c r="EJ149" s="877"/>
      <c r="ER149" s="625"/>
    </row>
    <row r="150" spans="1:148" s="278" customFormat="1" ht="48.75" customHeight="1" outlineLevel="2" thickBot="1" x14ac:dyDescent="0.25">
      <c r="A150" s="984"/>
      <c r="B150" s="978"/>
      <c r="C150" s="967"/>
      <c r="D150" s="1034"/>
      <c r="E150" s="875"/>
      <c r="F150" s="313" t="s">
        <v>211</v>
      </c>
      <c r="G150" s="387">
        <v>0</v>
      </c>
      <c r="H150" s="387">
        <v>0</v>
      </c>
      <c r="I150" s="387">
        <v>0</v>
      </c>
      <c r="J150" s="387">
        <v>0</v>
      </c>
      <c r="K150" s="387">
        <v>0</v>
      </c>
      <c r="L150" s="387">
        <v>0</v>
      </c>
      <c r="M150" s="387">
        <v>0</v>
      </c>
      <c r="N150" s="387">
        <v>0</v>
      </c>
      <c r="O150" s="387">
        <v>0</v>
      </c>
      <c r="P150" s="387">
        <v>0</v>
      </c>
      <c r="Q150" s="387">
        <v>0</v>
      </c>
      <c r="R150" s="387">
        <v>0</v>
      </c>
      <c r="S150" s="387">
        <v>0</v>
      </c>
      <c r="T150" s="387">
        <v>0</v>
      </c>
      <c r="U150" s="387">
        <v>0</v>
      </c>
      <c r="V150" s="387">
        <v>0</v>
      </c>
      <c r="W150" s="387">
        <v>0</v>
      </c>
      <c r="X150" s="387">
        <v>0</v>
      </c>
      <c r="Y150" s="387">
        <v>0</v>
      </c>
      <c r="Z150" s="387">
        <v>0</v>
      </c>
      <c r="AA150" s="387">
        <v>0</v>
      </c>
      <c r="AB150" s="387">
        <v>0</v>
      </c>
      <c r="AC150" s="387">
        <v>0</v>
      </c>
      <c r="AD150" s="387">
        <v>0</v>
      </c>
      <c r="AE150" s="387">
        <v>0</v>
      </c>
      <c r="AF150" s="387">
        <v>0</v>
      </c>
      <c r="AG150" s="387">
        <v>0</v>
      </c>
      <c r="AH150" s="387">
        <v>0</v>
      </c>
      <c r="AI150" s="387">
        <v>0</v>
      </c>
      <c r="AJ150" s="387">
        <v>0</v>
      </c>
      <c r="AK150" s="387">
        <v>0</v>
      </c>
      <c r="AL150" s="387">
        <v>0</v>
      </c>
      <c r="AM150" s="387">
        <v>0</v>
      </c>
      <c r="AN150" s="387">
        <v>0</v>
      </c>
      <c r="AO150" s="387">
        <v>0</v>
      </c>
      <c r="AP150" s="387">
        <v>0</v>
      </c>
      <c r="AQ150" s="387">
        <v>0</v>
      </c>
      <c r="AR150" s="387">
        <v>0</v>
      </c>
      <c r="AS150" s="387">
        <v>0</v>
      </c>
      <c r="AT150" s="387">
        <v>0</v>
      </c>
      <c r="AU150" s="387">
        <v>0</v>
      </c>
      <c r="AV150" s="387">
        <v>0</v>
      </c>
      <c r="AW150" s="387">
        <v>0</v>
      </c>
      <c r="AX150" s="387">
        <v>0</v>
      </c>
      <c r="AY150" s="387">
        <v>0</v>
      </c>
      <c r="AZ150" s="387">
        <v>0</v>
      </c>
      <c r="BA150" s="387">
        <v>0</v>
      </c>
      <c r="BB150" s="387">
        <v>0</v>
      </c>
      <c r="BC150" s="387">
        <v>0</v>
      </c>
      <c r="BD150" s="387">
        <v>0</v>
      </c>
      <c r="BE150" s="387">
        <v>0</v>
      </c>
      <c r="BF150" s="387">
        <v>0</v>
      </c>
      <c r="BG150" s="387">
        <v>0</v>
      </c>
      <c r="BH150" s="387">
        <v>0</v>
      </c>
      <c r="BI150" s="387">
        <v>0</v>
      </c>
      <c r="BJ150" s="387">
        <v>0</v>
      </c>
      <c r="BK150" s="387">
        <v>0</v>
      </c>
      <c r="BL150" s="387">
        <v>0</v>
      </c>
      <c r="BM150" s="387">
        <v>0</v>
      </c>
      <c r="BN150" s="387">
        <v>0</v>
      </c>
      <c r="BO150" s="387">
        <v>0</v>
      </c>
      <c r="BP150" s="387">
        <v>0</v>
      </c>
      <c r="BQ150" s="387">
        <v>0</v>
      </c>
      <c r="BR150" s="387">
        <v>0</v>
      </c>
      <c r="BS150" s="387">
        <v>0</v>
      </c>
      <c r="BT150" s="387">
        <v>0</v>
      </c>
      <c r="BU150" s="387">
        <v>0</v>
      </c>
      <c r="BV150" s="387">
        <v>0</v>
      </c>
      <c r="BW150" s="387">
        <v>0</v>
      </c>
      <c r="BX150" s="387">
        <v>0</v>
      </c>
      <c r="BY150" s="387">
        <v>0</v>
      </c>
      <c r="BZ150" s="387">
        <v>0</v>
      </c>
      <c r="CA150" s="387"/>
      <c r="CB150" s="387"/>
      <c r="CC150" s="387"/>
      <c r="CD150" s="387"/>
      <c r="CE150" s="387"/>
      <c r="CF150" s="387"/>
      <c r="CG150" s="387"/>
      <c r="CH150" s="387"/>
      <c r="CI150" s="387"/>
      <c r="CJ150" s="387"/>
      <c r="CK150" s="387"/>
      <c r="CL150" s="387"/>
      <c r="CM150" s="387">
        <v>0</v>
      </c>
      <c r="CN150" s="387">
        <v>0</v>
      </c>
      <c r="CO150" s="387">
        <v>0</v>
      </c>
      <c r="CP150" s="387">
        <v>0</v>
      </c>
      <c r="CQ150" s="387"/>
      <c r="CR150" s="387"/>
      <c r="CS150" s="387"/>
      <c r="CT150" s="387">
        <v>0</v>
      </c>
      <c r="CU150" s="387">
        <v>0</v>
      </c>
      <c r="CV150" s="387">
        <v>0</v>
      </c>
      <c r="CW150" s="387">
        <v>0</v>
      </c>
      <c r="CX150" s="643"/>
      <c r="CY150" s="387"/>
      <c r="CZ150" s="387"/>
      <c r="DA150" s="387"/>
      <c r="DB150" s="387"/>
      <c r="DC150" s="387"/>
      <c r="DD150" s="387"/>
      <c r="DE150" s="387"/>
      <c r="DF150" s="387"/>
      <c r="DG150" s="387"/>
      <c r="DH150" s="387">
        <f>+DG150-DD150</f>
        <v>0</v>
      </c>
      <c r="DI150" s="387"/>
      <c r="DJ150" s="387"/>
      <c r="DK150" s="387">
        <v>710.90763120000008</v>
      </c>
      <c r="DL150" s="387">
        <v>710.90763120000008</v>
      </c>
      <c r="DM150" s="387">
        <v>710.90763120000008</v>
      </c>
      <c r="DN150" s="387">
        <v>710.90763120000008</v>
      </c>
      <c r="DO150" s="520">
        <f>710.9076312-0.810684</f>
        <v>710.09694719999993</v>
      </c>
      <c r="DP150" s="387">
        <v>0</v>
      </c>
      <c r="DQ150" s="387">
        <v>0</v>
      </c>
      <c r="DR150" s="387">
        <v>0</v>
      </c>
      <c r="DS150" s="387">
        <v>0</v>
      </c>
      <c r="DT150" s="387">
        <v>0</v>
      </c>
      <c r="DU150" s="387">
        <v>0</v>
      </c>
      <c r="DV150" s="387">
        <v>0</v>
      </c>
      <c r="DW150" s="693">
        <f t="shared" si="19"/>
        <v>3553.7274720000005</v>
      </c>
      <c r="DX150" s="891"/>
      <c r="DY150" s="706"/>
      <c r="DZ150" s="901"/>
      <c r="EA150" s="873"/>
      <c r="EB150" s="859"/>
      <c r="EC150" s="859"/>
      <c r="ED150" s="859"/>
      <c r="EE150" s="859"/>
      <c r="EF150" s="861"/>
      <c r="EG150" s="1107"/>
      <c r="EI150" s="858"/>
      <c r="EJ150" s="877"/>
      <c r="ER150" s="625"/>
    </row>
    <row r="151" spans="1:148" s="278" customFormat="1" ht="12" customHeight="1" outlineLevel="2" x14ac:dyDescent="0.2">
      <c r="A151" s="982" t="s">
        <v>609</v>
      </c>
      <c r="B151" s="976" t="s">
        <v>167</v>
      </c>
      <c r="C151" s="965">
        <v>12</v>
      </c>
      <c r="D151" s="960">
        <f>+'Detalle Plan de Adquisiciones'!L107</f>
        <v>912847572</v>
      </c>
      <c r="E151" s="866" t="str">
        <f>+'[12]Detalle Plan de Adquisiciones'!F106</f>
        <v>INTERVENTORÍA TÉCNICA, ADMINISTRATIVA, FINANCIERA Y AMBIENTAL AL CONTRATO CUYO OBJETO ES: IMPLEMENTACIÓN DEL SISTEMA DE SEMAFORIZACIÓN  Y SISTEMA INTELIGENTE DE TRANSPORTE</v>
      </c>
      <c r="F151" s="312" t="s">
        <v>410</v>
      </c>
      <c r="G151" s="354">
        <v>0</v>
      </c>
      <c r="H151" s="354">
        <v>0</v>
      </c>
      <c r="I151" s="354">
        <v>0</v>
      </c>
      <c r="J151" s="354">
        <v>0</v>
      </c>
      <c r="K151" s="354">
        <v>0</v>
      </c>
      <c r="L151" s="354">
        <v>0</v>
      </c>
      <c r="M151" s="354">
        <v>0</v>
      </c>
      <c r="N151" s="354">
        <v>0</v>
      </c>
      <c r="O151" s="354">
        <v>0</v>
      </c>
      <c r="P151" s="354">
        <v>0</v>
      </c>
      <c r="Q151" s="354">
        <v>0</v>
      </c>
      <c r="R151" s="354">
        <v>0</v>
      </c>
      <c r="S151" s="354">
        <v>0</v>
      </c>
      <c r="T151" s="354">
        <v>0</v>
      </c>
      <c r="U151" s="354">
        <v>0</v>
      </c>
      <c r="V151" s="354">
        <v>0</v>
      </c>
      <c r="W151" s="354">
        <v>0</v>
      </c>
      <c r="X151" s="354">
        <v>0</v>
      </c>
      <c r="Y151" s="354">
        <v>0</v>
      </c>
      <c r="Z151" s="354">
        <v>0</v>
      </c>
      <c r="AA151" s="354">
        <v>0</v>
      </c>
      <c r="AB151" s="354">
        <v>0</v>
      </c>
      <c r="AC151" s="354">
        <v>0</v>
      </c>
      <c r="AD151" s="354">
        <v>0</v>
      </c>
      <c r="AE151" s="354">
        <v>0</v>
      </c>
      <c r="AF151" s="354">
        <v>0</v>
      </c>
      <c r="AG151" s="354">
        <v>0</v>
      </c>
      <c r="AH151" s="354">
        <v>0</v>
      </c>
      <c r="AI151" s="354">
        <v>0</v>
      </c>
      <c r="AJ151" s="354">
        <v>0</v>
      </c>
      <c r="AK151" s="354">
        <v>0</v>
      </c>
      <c r="AL151" s="354">
        <v>0</v>
      </c>
      <c r="AM151" s="354">
        <v>0</v>
      </c>
      <c r="AN151" s="354">
        <v>0</v>
      </c>
      <c r="AO151" s="354">
        <v>0</v>
      </c>
      <c r="AP151" s="354">
        <v>0</v>
      </c>
      <c r="AQ151" s="354">
        <v>0</v>
      </c>
      <c r="AR151" s="354">
        <v>0</v>
      </c>
      <c r="AS151" s="354">
        <v>0</v>
      </c>
      <c r="AT151" s="354">
        <v>0</v>
      </c>
      <c r="AU151" s="354">
        <v>0</v>
      </c>
      <c r="AV151" s="354">
        <v>0</v>
      </c>
      <c r="AW151" s="354">
        <v>0</v>
      </c>
      <c r="AX151" s="354">
        <v>0</v>
      </c>
      <c r="AY151" s="354">
        <v>0</v>
      </c>
      <c r="AZ151" s="354">
        <v>0</v>
      </c>
      <c r="BA151" s="354">
        <v>0</v>
      </c>
      <c r="BB151" s="354">
        <v>0</v>
      </c>
      <c r="BC151" s="354">
        <v>0</v>
      </c>
      <c r="BD151" s="354">
        <v>0</v>
      </c>
      <c r="BE151" s="354">
        <v>0</v>
      </c>
      <c r="BF151" s="354">
        <v>0</v>
      </c>
      <c r="BG151" s="354">
        <v>0</v>
      </c>
      <c r="BH151" s="354">
        <v>0</v>
      </c>
      <c r="BI151" s="354">
        <v>0</v>
      </c>
      <c r="BJ151" s="354">
        <v>0</v>
      </c>
      <c r="BK151" s="354">
        <v>0</v>
      </c>
      <c r="BL151" s="354">
        <v>0</v>
      </c>
      <c r="BM151" s="354">
        <v>0</v>
      </c>
      <c r="BN151" s="354">
        <v>0</v>
      </c>
      <c r="BO151" s="354">
        <v>0</v>
      </c>
      <c r="BP151" s="354">
        <v>0</v>
      </c>
      <c r="BQ151" s="354">
        <v>0</v>
      </c>
      <c r="BR151" s="354">
        <v>0</v>
      </c>
      <c r="BS151" s="354">
        <v>0</v>
      </c>
      <c r="BT151" s="354">
        <v>0</v>
      </c>
      <c r="BU151" s="354">
        <v>0</v>
      </c>
      <c r="BV151" s="354">
        <v>0</v>
      </c>
      <c r="BW151" s="354">
        <v>0</v>
      </c>
      <c r="BX151" s="354">
        <v>0</v>
      </c>
      <c r="BY151" s="354">
        <v>0</v>
      </c>
      <c r="BZ151" s="354">
        <v>0</v>
      </c>
      <c r="CA151" s="560">
        <v>0</v>
      </c>
      <c r="CB151" s="560">
        <v>0</v>
      </c>
      <c r="CC151" s="560">
        <v>0</v>
      </c>
      <c r="CD151" s="560">
        <v>0</v>
      </c>
      <c r="CE151" s="560">
        <v>0</v>
      </c>
      <c r="CF151" s="560">
        <v>0</v>
      </c>
      <c r="CG151" s="560">
        <v>0</v>
      </c>
      <c r="CH151" s="560">
        <v>0</v>
      </c>
      <c r="CI151" s="560">
        <v>0</v>
      </c>
      <c r="CJ151" s="560">
        <v>0</v>
      </c>
      <c r="CK151" s="560">
        <v>0</v>
      </c>
      <c r="CL151" s="560">
        <v>0</v>
      </c>
      <c r="CM151" s="354">
        <v>0</v>
      </c>
      <c r="CN151" s="354"/>
      <c r="CO151" s="354"/>
      <c r="CP151" s="354"/>
      <c r="CQ151" s="354"/>
      <c r="CR151" s="354"/>
      <c r="CS151" s="354"/>
      <c r="CT151" s="354"/>
      <c r="CU151" s="667"/>
      <c r="CV151" s="667"/>
      <c r="CW151" s="667"/>
      <c r="CX151" s="667"/>
      <c r="CY151" s="667"/>
      <c r="CZ151" s="667"/>
      <c r="DA151" s="667"/>
      <c r="DB151" s="667"/>
      <c r="DC151" s="667"/>
      <c r="DF151" s="383">
        <v>73.595555555555663</v>
      </c>
      <c r="DG151" s="383">
        <v>73.595555555555663</v>
      </c>
      <c r="DH151" s="383">
        <v>73.595555555555634</v>
      </c>
      <c r="DI151" s="383">
        <v>0</v>
      </c>
      <c r="DJ151" s="667"/>
      <c r="DK151" s="667"/>
      <c r="DL151" s="667"/>
      <c r="DM151" s="667"/>
      <c r="DN151" s="667">
        <v>0</v>
      </c>
      <c r="DO151" s="667">
        <v>0</v>
      </c>
      <c r="DP151" s="667">
        <v>0</v>
      </c>
      <c r="DQ151" s="354">
        <v>0</v>
      </c>
      <c r="DR151" s="354">
        <v>0</v>
      </c>
      <c r="DS151" s="354">
        <v>0</v>
      </c>
      <c r="DT151" s="354">
        <v>0</v>
      </c>
      <c r="DU151" s="354">
        <v>0</v>
      </c>
      <c r="DV151" s="354">
        <v>0</v>
      </c>
      <c r="DW151" s="691">
        <f t="shared" si="19"/>
        <v>220.78666666666697</v>
      </c>
      <c r="DX151" s="858">
        <f>DW151+DW152+DW153</f>
        <v>912.84757200000001</v>
      </c>
      <c r="DY151" s="704">
        <f>+DX151*1000000</f>
        <v>912847572</v>
      </c>
      <c r="DZ151" s="899">
        <f>+DY151-D151</f>
        <v>0</v>
      </c>
      <c r="EA151" s="873">
        <f>VLOOKUP([12]POA!$B121,INTERPLAN,28,0)</f>
        <v>43393</v>
      </c>
      <c r="EB151" s="859">
        <f>+EDATE(EA151,C151)</f>
        <v>43758</v>
      </c>
      <c r="EC151" s="859">
        <f>EB151+30</f>
        <v>43788</v>
      </c>
      <c r="ED151" s="859" t="str">
        <f>CONCATENATE(MONTH(EA151),"-",YEAR(EA151))</f>
        <v>10-2018</v>
      </c>
      <c r="EE151" s="859" t="str">
        <f>CONCATENATE(MONTH(EB151),"-",YEAR(EB151))</f>
        <v>10-2019</v>
      </c>
      <c r="EF151" s="861" t="str">
        <f>CONCATENATE(MONTH(EC151),"-",YEAR(EC151))</f>
        <v>11-2019</v>
      </c>
      <c r="EG151" s="1105">
        <f>+YEAR(EA151)</f>
        <v>2018</v>
      </c>
      <c r="EH151" s="393">
        <f>+DY151</f>
        <v>912847572</v>
      </c>
      <c r="EI151" s="858">
        <f>+DW151+DW152+DW153</f>
        <v>912.84757200000001</v>
      </c>
      <c r="EJ151" s="877">
        <f>+D151/1000000-EI151</f>
        <v>0</v>
      </c>
      <c r="ER151" s="625"/>
    </row>
    <row r="152" spans="1:148" s="278" customFormat="1" ht="12" customHeight="1" outlineLevel="2" x14ac:dyDescent="0.2">
      <c r="A152" s="983"/>
      <c r="B152" s="977"/>
      <c r="C152" s="966"/>
      <c r="D152" s="961"/>
      <c r="E152" s="867"/>
      <c r="F152" s="311" t="s">
        <v>210</v>
      </c>
      <c r="G152" s="363">
        <v>0</v>
      </c>
      <c r="H152" s="363">
        <v>0</v>
      </c>
      <c r="I152" s="363">
        <v>0</v>
      </c>
      <c r="J152" s="363">
        <v>0</v>
      </c>
      <c r="K152" s="363">
        <v>0</v>
      </c>
      <c r="L152" s="363">
        <v>0</v>
      </c>
      <c r="M152" s="363">
        <v>0</v>
      </c>
      <c r="N152" s="363">
        <v>0</v>
      </c>
      <c r="O152" s="363">
        <v>0</v>
      </c>
      <c r="P152" s="363">
        <v>0</v>
      </c>
      <c r="Q152" s="363">
        <v>0</v>
      </c>
      <c r="R152" s="363">
        <v>0</v>
      </c>
      <c r="S152" s="363">
        <v>0</v>
      </c>
      <c r="T152" s="363">
        <v>0</v>
      </c>
      <c r="U152" s="363">
        <v>0</v>
      </c>
      <c r="V152" s="363">
        <v>0</v>
      </c>
      <c r="W152" s="363">
        <v>0</v>
      </c>
      <c r="X152" s="363">
        <v>0</v>
      </c>
      <c r="Y152" s="363">
        <v>0</v>
      </c>
      <c r="Z152" s="363">
        <v>0</v>
      </c>
      <c r="AA152" s="363">
        <v>0</v>
      </c>
      <c r="AB152" s="363">
        <v>0</v>
      </c>
      <c r="AC152" s="363">
        <v>0</v>
      </c>
      <c r="AD152" s="363">
        <v>0</v>
      </c>
      <c r="AE152" s="363">
        <v>0</v>
      </c>
      <c r="AF152" s="363">
        <v>0</v>
      </c>
      <c r="AG152" s="363">
        <v>0</v>
      </c>
      <c r="AH152" s="363">
        <v>0</v>
      </c>
      <c r="AI152" s="363">
        <v>0</v>
      </c>
      <c r="AJ152" s="363">
        <v>0</v>
      </c>
      <c r="AK152" s="363">
        <v>0</v>
      </c>
      <c r="AL152" s="363">
        <v>0</v>
      </c>
      <c r="AM152" s="363">
        <v>0</v>
      </c>
      <c r="AN152" s="363">
        <v>0</v>
      </c>
      <c r="AO152" s="363">
        <v>0</v>
      </c>
      <c r="AP152" s="363">
        <v>0</v>
      </c>
      <c r="AQ152" s="363">
        <v>0</v>
      </c>
      <c r="AR152" s="363">
        <v>0</v>
      </c>
      <c r="AS152" s="363">
        <v>0</v>
      </c>
      <c r="AT152" s="363">
        <v>0</v>
      </c>
      <c r="AU152" s="363">
        <v>0</v>
      </c>
      <c r="AV152" s="363">
        <v>0</v>
      </c>
      <c r="AW152" s="363">
        <v>0</v>
      </c>
      <c r="AX152" s="363">
        <v>0</v>
      </c>
      <c r="AY152" s="363">
        <v>0</v>
      </c>
      <c r="AZ152" s="363">
        <v>0</v>
      </c>
      <c r="BA152" s="363">
        <v>0</v>
      </c>
      <c r="BB152" s="363">
        <v>0</v>
      </c>
      <c r="BC152" s="363">
        <v>0</v>
      </c>
      <c r="BD152" s="363">
        <v>0</v>
      </c>
      <c r="BE152" s="363">
        <v>0</v>
      </c>
      <c r="BF152" s="363">
        <v>0</v>
      </c>
      <c r="BG152" s="363">
        <v>0</v>
      </c>
      <c r="BH152" s="363">
        <v>0</v>
      </c>
      <c r="BI152" s="363">
        <v>0</v>
      </c>
      <c r="BJ152" s="363">
        <v>0</v>
      </c>
      <c r="BK152" s="363">
        <v>0</v>
      </c>
      <c r="BL152" s="363">
        <v>0</v>
      </c>
      <c r="BM152" s="363">
        <v>0</v>
      </c>
      <c r="BN152" s="363">
        <v>0</v>
      </c>
      <c r="BO152" s="363">
        <v>0</v>
      </c>
      <c r="BP152" s="363">
        <v>0</v>
      </c>
      <c r="BQ152" s="363">
        <v>0</v>
      </c>
      <c r="BR152" s="363">
        <v>0</v>
      </c>
      <c r="BS152" s="363">
        <v>0</v>
      </c>
      <c r="BT152" s="363">
        <v>0</v>
      </c>
      <c r="BU152" s="363">
        <v>0</v>
      </c>
      <c r="BV152" s="363">
        <v>0</v>
      </c>
      <c r="BW152" s="363">
        <v>0</v>
      </c>
      <c r="BX152" s="363">
        <v>0</v>
      </c>
      <c r="BY152" s="363">
        <v>0</v>
      </c>
      <c r="BZ152" s="363">
        <v>0</v>
      </c>
      <c r="CA152" s="363">
        <v>0</v>
      </c>
      <c r="CB152" s="363">
        <v>0</v>
      </c>
      <c r="CC152" s="363">
        <v>0</v>
      </c>
      <c r="CD152" s="363">
        <v>0</v>
      </c>
      <c r="CE152" s="363">
        <v>0</v>
      </c>
      <c r="CF152" s="363">
        <v>0</v>
      </c>
      <c r="CG152" s="363">
        <v>0</v>
      </c>
      <c r="CH152" s="363">
        <v>0</v>
      </c>
      <c r="CI152" s="363">
        <v>0</v>
      </c>
      <c r="CJ152" s="363">
        <v>0</v>
      </c>
      <c r="CK152" s="363">
        <v>0</v>
      </c>
      <c r="CL152" s="363">
        <v>0</v>
      </c>
      <c r="CM152" s="363">
        <v>0</v>
      </c>
      <c r="CN152" s="363">
        <v>0</v>
      </c>
      <c r="CO152" s="363">
        <v>0</v>
      </c>
      <c r="CP152" s="363">
        <v>0</v>
      </c>
      <c r="CQ152" s="363">
        <v>0</v>
      </c>
      <c r="CR152" s="363">
        <v>0</v>
      </c>
      <c r="CS152" s="363">
        <v>0</v>
      </c>
      <c r="CT152" s="363">
        <v>0</v>
      </c>
      <c r="CU152" s="363">
        <v>0</v>
      </c>
      <c r="CV152" s="363">
        <v>0</v>
      </c>
      <c r="CW152" s="363"/>
      <c r="CX152" s="363"/>
      <c r="CY152" s="363"/>
      <c r="CZ152" s="363"/>
      <c r="DA152" s="363"/>
      <c r="DB152" s="363"/>
      <c r="DC152" s="363"/>
      <c r="DD152" s="363"/>
      <c r="DE152" s="363"/>
      <c r="DF152" s="363"/>
      <c r="DG152" s="363">
        <v>0</v>
      </c>
      <c r="DH152" s="363">
        <v>0</v>
      </c>
      <c r="DI152" s="363">
        <v>0</v>
      </c>
      <c r="DJ152" s="363">
        <v>0</v>
      </c>
      <c r="DK152" s="363">
        <v>0</v>
      </c>
      <c r="DL152" s="363">
        <v>0</v>
      </c>
      <c r="DM152" s="363">
        <v>0</v>
      </c>
      <c r="DN152" s="363"/>
      <c r="DO152" s="363"/>
      <c r="DP152" s="363">
        <v>0</v>
      </c>
      <c r="DQ152" s="363">
        <v>0</v>
      </c>
      <c r="DR152" s="363">
        <v>0</v>
      </c>
      <c r="DS152" s="363">
        <v>0</v>
      </c>
      <c r="DT152" s="363">
        <v>0</v>
      </c>
      <c r="DU152" s="363">
        <v>0</v>
      </c>
      <c r="DV152" s="363">
        <v>0</v>
      </c>
      <c r="DW152" s="692">
        <f t="shared" si="19"/>
        <v>0</v>
      </c>
      <c r="DX152" s="858"/>
      <c r="DY152" s="705"/>
      <c r="DZ152" s="900"/>
      <c r="EA152" s="873"/>
      <c r="EB152" s="859"/>
      <c r="EC152" s="859"/>
      <c r="ED152" s="859"/>
      <c r="EE152" s="859"/>
      <c r="EF152" s="861"/>
      <c r="EG152" s="1106"/>
      <c r="EI152" s="858"/>
      <c r="EJ152" s="877"/>
      <c r="ER152" s="625"/>
    </row>
    <row r="153" spans="1:148" s="278" customFormat="1" ht="30" customHeight="1" outlineLevel="2" thickBot="1" x14ac:dyDescent="0.25">
      <c r="A153" s="984"/>
      <c r="B153" s="978"/>
      <c r="C153" s="967"/>
      <c r="D153" s="962"/>
      <c r="E153" s="875"/>
      <c r="F153" s="313" t="s">
        <v>211</v>
      </c>
      <c r="G153" s="387">
        <v>0</v>
      </c>
      <c r="H153" s="387">
        <v>0</v>
      </c>
      <c r="I153" s="387">
        <v>0</v>
      </c>
      <c r="J153" s="387">
        <v>0</v>
      </c>
      <c r="K153" s="387">
        <v>0</v>
      </c>
      <c r="L153" s="387">
        <v>0</v>
      </c>
      <c r="M153" s="387">
        <v>0</v>
      </c>
      <c r="N153" s="387">
        <v>0</v>
      </c>
      <c r="O153" s="387">
        <v>0</v>
      </c>
      <c r="P153" s="387">
        <v>0</v>
      </c>
      <c r="Q153" s="387">
        <v>0</v>
      </c>
      <c r="R153" s="387">
        <v>0</v>
      </c>
      <c r="S153" s="387">
        <v>0</v>
      </c>
      <c r="T153" s="387">
        <v>0</v>
      </c>
      <c r="U153" s="387">
        <v>0</v>
      </c>
      <c r="V153" s="387">
        <v>0</v>
      </c>
      <c r="W153" s="387">
        <v>0</v>
      </c>
      <c r="X153" s="387">
        <v>0</v>
      </c>
      <c r="Y153" s="387">
        <v>0</v>
      </c>
      <c r="Z153" s="387">
        <v>0</v>
      </c>
      <c r="AA153" s="387">
        <v>0</v>
      </c>
      <c r="AB153" s="387">
        <v>0</v>
      </c>
      <c r="AC153" s="387">
        <v>0</v>
      </c>
      <c r="AD153" s="387">
        <v>0</v>
      </c>
      <c r="AE153" s="387">
        <v>0</v>
      </c>
      <c r="AF153" s="387">
        <v>0</v>
      </c>
      <c r="AG153" s="387">
        <v>0</v>
      </c>
      <c r="AH153" s="387">
        <v>0</v>
      </c>
      <c r="AI153" s="387">
        <v>0</v>
      </c>
      <c r="AJ153" s="387">
        <v>0</v>
      </c>
      <c r="AK153" s="387">
        <v>0</v>
      </c>
      <c r="AL153" s="387">
        <v>0</v>
      </c>
      <c r="AM153" s="387">
        <v>0</v>
      </c>
      <c r="AN153" s="387">
        <v>0</v>
      </c>
      <c r="AO153" s="387">
        <v>0</v>
      </c>
      <c r="AP153" s="387">
        <v>0</v>
      </c>
      <c r="AQ153" s="387">
        <v>0</v>
      </c>
      <c r="AR153" s="387">
        <v>0</v>
      </c>
      <c r="AS153" s="387">
        <v>0</v>
      </c>
      <c r="AT153" s="387">
        <v>0</v>
      </c>
      <c r="AU153" s="387">
        <v>0</v>
      </c>
      <c r="AV153" s="387">
        <v>0</v>
      </c>
      <c r="AW153" s="387">
        <v>0</v>
      </c>
      <c r="AX153" s="387">
        <v>0</v>
      </c>
      <c r="AY153" s="387">
        <v>0</v>
      </c>
      <c r="AZ153" s="387">
        <v>0</v>
      </c>
      <c r="BA153" s="387">
        <v>0</v>
      </c>
      <c r="BB153" s="387">
        <v>0</v>
      </c>
      <c r="BC153" s="387">
        <v>0</v>
      </c>
      <c r="BD153" s="387">
        <v>0</v>
      </c>
      <c r="BE153" s="387">
        <v>0</v>
      </c>
      <c r="BF153" s="387">
        <v>0</v>
      </c>
      <c r="BG153" s="387">
        <v>0</v>
      </c>
      <c r="BH153" s="387">
        <v>0</v>
      </c>
      <c r="BI153" s="387">
        <v>0</v>
      </c>
      <c r="BJ153" s="387">
        <v>0</v>
      </c>
      <c r="BK153" s="387">
        <v>0</v>
      </c>
      <c r="BL153" s="387">
        <v>0</v>
      </c>
      <c r="BM153" s="387">
        <v>0</v>
      </c>
      <c r="BN153" s="387">
        <v>0</v>
      </c>
      <c r="BO153" s="387">
        <v>0</v>
      </c>
      <c r="BP153" s="387">
        <v>0</v>
      </c>
      <c r="BQ153" s="387">
        <v>0</v>
      </c>
      <c r="BR153" s="387">
        <v>0</v>
      </c>
      <c r="BS153" s="387">
        <v>0</v>
      </c>
      <c r="BT153" s="387">
        <v>0</v>
      </c>
      <c r="BU153" s="387">
        <v>0</v>
      </c>
      <c r="BV153" s="387">
        <v>0</v>
      </c>
      <c r="BW153" s="387">
        <v>0</v>
      </c>
      <c r="BX153" s="387">
        <v>0</v>
      </c>
      <c r="BY153" s="387">
        <v>0</v>
      </c>
      <c r="BZ153" s="387">
        <v>0</v>
      </c>
      <c r="CA153" s="387">
        <v>0</v>
      </c>
      <c r="CB153" s="387">
        <v>0</v>
      </c>
      <c r="CC153" s="387">
        <v>0</v>
      </c>
      <c r="CD153" s="387">
        <v>0</v>
      </c>
      <c r="CE153" s="387">
        <v>0</v>
      </c>
      <c r="CF153" s="387">
        <v>0</v>
      </c>
      <c r="CG153" s="387">
        <v>0</v>
      </c>
      <c r="CH153" s="387">
        <v>0</v>
      </c>
      <c r="CI153" s="387">
        <v>0</v>
      </c>
      <c r="CJ153" s="387">
        <v>0</v>
      </c>
      <c r="CK153" s="387">
        <v>0</v>
      </c>
      <c r="CL153" s="387">
        <v>0</v>
      </c>
      <c r="CM153" s="387">
        <v>0</v>
      </c>
      <c r="CN153" s="387"/>
      <c r="CO153" s="387"/>
      <c r="CP153" s="387"/>
      <c r="CQ153" s="387"/>
      <c r="CR153" s="387"/>
      <c r="CS153" s="387"/>
      <c r="CT153" s="387"/>
      <c r="CU153" s="387">
        <v>0</v>
      </c>
      <c r="CV153" s="387">
        <v>0</v>
      </c>
      <c r="CW153" s="387">
        <v>0</v>
      </c>
      <c r="CX153" s="387">
        <v>0</v>
      </c>
      <c r="CY153" s="387">
        <v>0</v>
      </c>
      <c r="CZ153" s="387">
        <v>0</v>
      </c>
      <c r="DA153" s="387">
        <v>0</v>
      </c>
      <c r="DB153" s="387">
        <v>0</v>
      </c>
      <c r="DC153" s="387">
        <v>0</v>
      </c>
      <c r="DD153" s="387"/>
      <c r="DE153" s="387"/>
      <c r="DF153" s="363">
        <v>0</v>
      </c>
      <c r="DI153" s="825">
        <v>73.595555555555634</v>
      </c>
      <c r="DJ153" s="825">
        <v>73.595555555555634</v>
      </c>
      <c r="DK153" s="825">
        <v>73.595555555555634</v>
      </c>
      <c r="DL153" s="825">
        <v>73.595555555555634</v>
      </c>
      <c r="DM153" s="825">
        <v>73.595555555555634</v>
      </c>
      <c r="DN153" s="825">
        <v>73.595555555555634</v>
      </c>
      <c r="DO153" s="825">
        <v>73.595555555555634</v>
      </c>
      <c r="DP153" s="825">
        <v>73.595555555555634</v>
      </c>
      <c r="DQ153" s="363">
        <v>103.29646088888801</v>
      </c>
      <c r="DR153" s="387">
        <v>0</v>
      </c>
      <c r="DS153" s="387">
        <v>0</v>
      </c>
      <c r="DT153" s="387">
        <v>0</v>
      </c>
      <c r="DU153" s="387">
        <v>0</v>
      </c>
      <c r="DV153" s="387">
        <v>0</v>
      </c>
      <c r="DW153" s="693">
        <f t="shared" si="19"/>
        <v>692.06090533333304</v>
      </c>
      <c r="DX153" s="858"/>
      <c r="DY153" s="706"/>
      <c r="DZ153" s="901"/>
      <c r="EA153" s="873"/>
      <c r="EB153" s="859"/>
      <c r="EC153" s="859"/>
      <c r="ED153" s="859"/>
      <c r="EE153" s="859"/>
      <c r="EF153" s="861"/>
      <c r="EG153" s="1107"/>
      <c r="EI153" s="858"/>
      <c r="EJ153" s="877"/>
      <c r="EO153" s="393">
        <f>+DW151+DW153</f>
        <v>912.84757200000001</v>
      </c>
      <c r="EP153" s="278">
        <f>+D151/1000000</f>
        <v>912.84757200000001</v>
      </c>
      <c r="EQ153" s="393">
        <f>+EO153-EP153</f>
        <v>0</v>
      </c>
      <c r="ER153" s="625"/>
    </row>
    <row r="154" spans="1:148" s="278" customFormat="1" ht="24" outlineLevel="2" x14ac:dyDescent="0.2">
      <c r="A154" s="937" t="s">
        <v>386</v>
      </c>
      <c r="B154" s="963" t="s">
        <v>353</v>
      </c>
      <c r="C154" s="954">
        <v>6</v>
      </c>
      <c r="D154" s="957">
        <f>+'Detalle Plan de Adquisiciones'!M44</f>
        <v>4000000000</v>
      </c>
      <c r="E154" s="866" t="str">
        <f>+'Detalle Plan de Adquisiciones'!F44</f>
        <v>SUMINISTRO, INSTALACIÓN Y MANTENIMIENTO DE PARADEROS TIPO M10, TIPO COLOMBINA, CICLOPARQUEADERO, SEÑALIZACIÓN VERTICAL Y HORIZONTAL.  ID [Par1-Par2-Par-3-Par4) A CORREDORES DE OPERACIÓN DEL SISTEMA ESTRATÉGICO DE TRANSPORTE PUBLICO "SETP" DE LA CIUDAD DE MONTERÍA.</v>
      </c>
      <c r="F154" s="312" t="s">
        <v>410</v>
      </c>
      <c r="G154" s="354">
        <v>0</v>
      </c>
      <c r="H154" s="354">
        <v>0</v>
      </c>
      <c r="I154" s="354">
        <v>0</v>
      </c>
      <c r="J154" s="354">
        <v>0</v>
      </c>
      <c r="K154" s="354">
        <v>0</v>
      </c>
      <c r="L154" s="354">
        <v>0</v>
      </c>
      <c r="M154" s="354">
        <v>0</v>
      </c>
      <c r="N154" s="354">
        <v>0</v>
      </c>
      <c r="O154" s="354">
        <v>0</v>
      </c>
      <c r="P154" s="354">
        <v>0</v>
      </c>
      <c r="Q154" s="354">
        <v>0</v>
      </c>
      <c r="R154" s="354">
        <v>0</v>
      </c>
      <c r="S154" s="354">
        <v>0</v>
      </c>
      <c r="T154" s="354">
        <v>0</v>
      </c>
      <c r="U154" s="354">
        <v>0</v>
      </c>
      <c r="V154" s="354">
        <v>0</v>
      </c>
      <c r="W154" s="354">
        <v>0</v>
      </c>
      <c r="X154" s="354">
        <v>0</v>
      </c>
      <c r="Y154" s="354">
        <v>0</v>
      </c>
      <c r="Z154" s="354">
        <v>0</v>
      </c>
      <c r="AA154" s="354">
        <v>0</v>
      </c>
      <c r="AB154" s="354">
        <v>0</v>
      </c>
      <c r="AC154" s="354">
        <v>0</v>
      </c>
      <c r="AD154" s="354">
        <v>0</v>
      </c>
      <c r="AE154" s="354">
        <v>0</v>
      </c>
      <c r="AF154" s="354">
        <v>0</v>
      </c>
      <c r="AG154" s="354">
        <v>0</v>
      </c>
      <c r="AH154" s="354">
        <v>0</v>
      </c>
      <c r="AI154" s="354">
        <v>0</v>
      </c>
      <c r="AJ154" s="354">
        <v>0</v>
      </c>
      <c r="AK154" s="354">
        <v>0</v>
      </c>
      <c r="AL154" s="354">
        <v>0</v>
      </c>
      <c r="AM154" s="354">
        <v>0</v>
      </c>
      <c r="AN154" s="354">
        <v>0</v>
      </c>
      <c r="AO154" s="354">
        <v>0</v>
      </c>
      <c r="AP154" s="354">
        <v>0</v>
      </c>
      <c r="AQ154" s="354">
        <v>0</v>
      </c>
      <c r="AR154" s="354">
        <v>0</v>
      </c>
      <c r="AS154" s="354">
        <v>0</v>
      </c>
      <c r="AT154" s="354">
        <v>0</v>
      </c>
      <c r="AU154" s="354">
        <v>0</v>
      </c>
      <c r="AV154" s="354">
        <v>0</v>
      </c>
      <c r="AW154" s="354">
        <v>0</v>
      </c>
      <c r="AX154" s="354">
        <v>0</v>
      </c>
      <c r="AY154" s="354">
        <v>0</v>
      </c>
      <c r="AZ154" s="354">
        <v>0</v>
      </c>
      <c r="BA154" s="354">
        <v>0</v>
      </c>
      <c r="BB154" s="354">
        <v>0</v>
      </c>
      <c r="BC154" s="354">
        <v>0</v>
      </c>
      <c r="BD154" s="354">
        <v>0</v>
      </c>
      <c r="BE154" s="354">
        <v>0</v>
      </c>
      <c r="BF154" s="354">
        <v>0</v>
      </c>
      <c r="BG154" s="354">
        <v>0</v>
      </c>
      <c r="BH154" s="354">
        <v>0</v>
      </c>
      <c r="BI154" s="354">
        <v>0</v>
      </c>
      <c r="BJ154" s="354">
        <v>0</v>
      </c>
      <c r="BK154" s="354">
        <v>0</v>
      </c>
      <c r="BL154" s="354">
        <v>0</v>
      </c>
      <c r="BM154" s="354">
        <v>0</v>
      </c>
      <c r="BN154" s="354">
        <v>0</v>
      </c>
      <c r="BO154" s="354">
        <v>0</v>
      </c>
      <c r="BP154" s="354">
        <v>0</v>
      </c>
      <c r="BQ154" s="354">
        <v>0</v>
      </c>
      <c r="BR154" s="354">
        <v>0</v>
      </c>
      <c r="BS154" s="354">
        <v>0</v>
      </c>
      <c r="BT154" s="354">
        <v>0</v>
      </c>
      <c r="BU154" s="354">
        <v>0</v>
      </c>
      <c r="BV154" s="354">
        <v>0</v>
      </c>
      <c r="BW154" s="354">
        <v>0</v>
      </c>
      <c r="BX154" s="354">
        <v>0</v>
      </c>
      <c r="BY154" s="354">
        <v>0</v>
      </c>
      <c r="BZ154" s="354">
        <v>0</v>
      </c>
      <c r="CA154" s="354">
        <v>0</v>
      </c>
      <c r="CB154" s="354">
        <v>0</v>
      </c>
      <c r="CC154" s="354">
        <v>0</v>
      </c>
      <c r="CD154" s="354">
        <v>0</v>
      </c>
      <c r="CE154" s="354">
        <v>0</v>
      </c>
      <c r="CF154" s="354">
        <v>0</v>
      </c>
      <c r="CG154" s="354">
        <v>0</v>
      </c>
      <c r="CH154" s="354">
        <v>0</v>
      </c>
      <c r="CI154" s="354">
        <v>0</v>
      </c>
      <c r="CJ154" s="354">
        <v>0</v>
      </c>
      <c r="CK154" s="354">
        <v>0</v>
      </c>
      <c r="CL154" s="354">
        <v>0</v>
      </c>
      <c r="CM154" s="354">
        <v>0</v>
      </c>
      <c r="CN154" s="354">
        <v>0</v>
      </c>
      <c r="CO154" s="354">
        <v>0</v>
      </c>
      <c r="CP154" s="354">
        <v>0</v>
      </c>
      <c r="CQ154" s="354">
        <v>0</v>
      </c>
      <c r="CR154" s="354">
        <v>0</v>
      </c>
      <c r="CS154" s="354">
        <v>0</v>
      </c>
      <c r="CT154" s="354"/>
      <c r="CU154" s="354"/>
      <c r="CV154" s="354">
        <v>0</v>
      </c>
      <c r="CW154" s="354">
        <v>0</v>
      </c>
      <c r="CX154" s="354">
        <v>0</v>
      </c>
      <c r="CY154" s="354">
        <v>0</v>
      </c>
      <c r="CZ154" s="354">
        <v>0</v>
      </c>
      <c r="DA154" s="354">
        <v>0</v>
      </c>
      <c r="DB154" s="354"/>
      <c r="DC154" s="354">
        <v>0</v>
      </c>
      <c r="DD154" s="354">
        <v>0</v>
      </c>
      <c r="DE154" s="354">
        <v>0</v>
      </c>
      <c r="DF154" s="354">
        <v>0</v>
      </c>
      <c r="DG154" s="354">
        <v>0</v>
      </c>
      <c r="DH154" s="354">
        <f>($D$154*0.2)/1000000</f>
        <v>800</v>
      </c>
      <c r="DI154" s="354">
        <f>(($D$154*0.7)/4)/1000000</f>
        <v>700</v>
      </c>
      <c r="DJ154" s="354">
        <f>(($D$154*0.7)/4)/1000000</f>
        <v>700</v>
      </c>
      <c r="DK154" s="354">
        <f>(($D$154*0.7)/4)/1000000</f>
        <v>700</v>
      </c>
      <c r="DL154" s="354">
        <f>(($D$154*0.7)/4)/1000000</f>
        <v>700</v>
      </c>
      <c r="DM154" s="354">
        <f>(D154*0.1)/1000000</f>
        <v>400</v>
      </c>
      <c r="DN154" s="354">
        <v>0</v>
      </c>
      <c r="DO154" s="354">
        <v>0</v>
      </c>
      <c r="DP154" s="354"/>
      <c r="DQ154" s="354"/>
      <c r="DR154" s="354">
        <v>0</v>
      </c>
      <c r="DS154" s="354">
        <v>0</v>
      </c>
      <c r="DT154" s="354">
        <v>0</v>
      </c>
      <c r="DU154" s="354">
        <v>0</v>
      </c>
      <c r="DV154" s="354">
        <v>0</v>
      </c>
      <c r="DW154" s="688">
        <f t="shared" ref="DW154:DW159" si="20">SUM(G154:DV154)</f>
        <v>4000</v>
      </c>
      <c r="DX154" s="858">
        <f>DW154+DW155+DW156</f>
        <v>4000</v>
      </c>
      <c r="DY154" s="704">
        <f>+DX154*1000000</f>
        <v>4000000000</v>
      </c>
      <c r="DZ154" s="870">
        <f>+DY154-D154</f>
        <v>0</v>
      </c>
      <c r="EA154" s="873">
        <f>VLOOKUP(POA!$B154,'Detalle Plan de Adquisiciones'!$G$6:$AF$66,23,0)</f>
        <v>43358</v>
      </c>
      <c r="EB154" s="859">
        <f>VLOOKUP(POA!$B154,'Detalle Plan de Adquisiciones'!$G$6:$AF$66,25,0)</f>
        <v>43539</v>
      </c>
      <c r="EC154" s="859">
        <f>EB154+30</f>
        <v>43569</v>
      </c>
      <c r="ED154" s="859" t="str">
        <f>CONCATENATE(MONTH(EA154),"-",YEAR(EA154))</f>
        <v>9-2018</v>
      </c>
      <c r="EE154" s="859" t="str">
        <f>CONCATENATE(MONTH(EB154),"-",YEAR(EB154))</f>
        <v>3-2019</v>
      </c>
      <c r="EF154" s="861" t="str">
        <f>CONCATENATE(MONTH(EC154),"-",YEAR(EC154))</f>
        <v>4-2019</v>
      </c>
      <c r="EG154" s="1105">
        <f>+YEAR(EA154)</f>
        <v>2018</v>
      </c>
      <c r="EI154" s="858">
        <f>+DW154+DW155+DW156</f>
        <v>4000</v>
      </c>
      <c r="EJ154" s="877">
        <f>+D154/1000000-EI154</f>
        <v>0</v>
      </c>
      <c r="ER154" s="497"/>
    </row>
    <row r="155" spans="1:148" s="278" customFormat="1" outlineLevel="2" x14ac:dyDescent="0.2">
      <c r="A155" s="938"/>
      <c r="B155" s="944"/>
      <c r="C155" s="955"/>
      <c r="D155" s="958"/>
      <c r="E155" s="867"/>
      <c r="F155" s="311" t="s">
        <v>210</v>
      </c>
      <c r="G155" s="363">
        <v>0</v>
      </c>
      <c r="H155" s="363">
        <v>0</v>
      </c>
      <c r="I155" s="363">
        <v>0</v>
      </c>
      <c r="J155" s="363">
        <v>0</v>
      </c>
      <c r="K155" s="363">
        <v>0</v>
      </c>
      <c r="L155" s="363">
        <v>0</v>
      </c>
      <c r="M155" s="363">
        <v>0</v>
      </c>
      <c r="N155" s="363">
        <v>0</v>
      </c>
      <c r="O155" s="363">
        <v>0</v>
      </c>
      <c r="P155" s="363">
        <v>0</v>
      </c>
      <c r="Q155" s="363">
        <v>0</v>
      </c>
      <c r="R155" s="363">
        <v>0</v>
      </c>
      <c r="S155" s="363">
        <v>0</v>
      </c>
      <c r="T155" s="363">
        <v>0</v>
      </c>
      <c r="U155" s="363">
        <v>0</v>
      </c>
      <c r="V155" s="363">
        <v>0</v>
      </c>
      <c r="W155" s="363">
        <v>0</v>
      </c>
      <c r="X155" s="363">
        <v>0</v>
      </c>
      <c r="Y155" s="363">
        <v>0</v>
      </c>
      <c r="Z155" s="363">
        <v>0</v>
      </c>
      <c r="AA155" s="363">
        <v>0</v>
      </c>
      <c r="AB155" s="363">
        <v>0</v>
      </c>
      <c r="AC155" s="363">
        <v>0</v>
      </c>
      <c r="AD155" s="363">
        <v>0</v>
      </c>
      <c r="AE155" s="363">
        <v>0</v>
      </c>
      <c r="AF155" s="363">
        <v>0</v>
      </c>
      <c r="AG155" s="363">
        <v>0</v>
      </c>
      <c r="AH155" s="363">
        <v>0</v>
      </c>
      <c r="AI155" s="363">
        <v>0</v>
      </c>
      <c r="AJ155" s="363">
        <v>0</v>
      </c>
      <c r="AK155" s="363">
        <v>0</v>
      </c>
      <c r="AL155" s="363">
        <v>0</v>
      </c>
      <c r="AM155" s="363">
        <v>0</v>
      </c>
      <c r="AN155" s="363">
        <v>0</v>
      </c>
      <c r="AO155" s="363">
        <v>0</v>
      </c>
      <c r="AP155" s="363">
        <v>0</v>
      </c>
      <c r="AQ155" s="363">
        <v>0</v>
      </c>
      <c r="AR155" s="363">
        <v>0</v>
      </c>
      <c r="AS155" s="363">
        <v>0</v>
      </c>
      <c r="AT155" s="363">
        <v>0</v>
      </c>
      <c r="AU155" s="363">
        <v>0</v>
      </c>
      <c r="AV155" s="363">
        <v>0</v>
      </c>
      <c r="AW155" s="363">
        <v>0</v>
      </c>
      <c r="AX155" s="363">
        <v>0</v>
      </c>
      <c r="AY155" s="363">
        <v>0</v>
      </c>
      <c r="AZ155" s="363">
        <v>0</v>
      </c>
      <c r="BA155" s="363">
        <v>0</v>
      </c>
      <c r="BB155" s="363">
        <v>0</v>
      </c>
      <c r="BC155" s="363">
        <v>0</v>
      </c>
      <c r="BD155" s="363">
        <v>0</v>
      </c>
      <c r="BE155" s="363">
        <v>0</v>
      </c>
      <c r="BF155" s="363">
        <v>0</v>
      </c>
      <c r="BG155" s="363">
        <v>0</v>
      </c>
      <c r="BH155" s="363">
        <v>0</v>
      </c>
      <c r="BI155" s="363">
        <v>0</v>
      </c>
      <c r="BJ155" s="363">
        <v>0</v>
      </c>
      <c r="BK155" s="363">
        <v>0</v>
      </c>
      <c r="BL155" s="363">
        <v>0</v>
      </c>
      <c r="BM155" s="363">
        <v>0</v>
      </c>
      <c r="BN155" s="363">
        <v>0</v>
      </c>
      <c r="BO155" s="363">
        <v>0</v>
      </c>
      <c r="BP155" s="363">
        <v>0</v>
      </c>
      <c r="BQ155" s="363">
        <v>0</v>
      </c>
      <c r="BR155" s="363">
        <v>0</v>
      </c>
      <c r="BS155" s="363">
        <v>0</v>
      </c>
      <c r="BT155" s="363">
        <v>0</v>
      </c>
      <c r="BU155" s="363">
        <v>0</v>
      </c>
      <c r="BV155" s="363">
        <v>0</v>
      </c>
      <c r="BW155" s="363">
        <v>0</v>
      </c>
      <c r="BX155" s="363">
        <v>0</v>
      </c>
      <c r="BY155" s="363">
        <v>0</v>
      </c>
      <c r="BZ155" s="363">
        <v>0</v>
      </c>
      <c r="CA155" s="363">
        <v>0</v>
      </c>
      <c r="CB155" s="363">
        <v>0</v>
      </c>
      <c r="CC155" s="363">
        <v>0</v>
      </c>
      <c r="CD155" s="363">
        <v>0</v>
      </c>
      <c r="CE155" s="363">
        <v>0</v>
      </c>
      <c r="CF155" s="363">
        <v>0</v>
      </c>
      <c r="CG155" s="363">
        <v>0</v>
      </c>
      <c r="CH155" s="363">
        <v>0</v>
      </c>
      <c r="CI155" s="363">
        <v>0</v>
      </c>
      <c r="CJ155" s="363">
        <v>0</v>
      </c>
      <c r="CK155" s="363">
        <v>0</v>
      </c>
      <c r="CL155" s="363">
        <v>0</v>
      </c>
      <c r="CM155" s="363">
        <v>0</v>
      </c>
      <c r="CN155" s="363">
        <v>0</v>
      </c>
      <c r="CO155" s="363">
        <v>0</v>
      </c>
      <c r="CP155" s="363">
        <v>0</v>
      </c>
      <c r="CQ155" s="363">
        <v>0</v>
      </c>
      <c r="CR155" s="363">
        <v>0</v>
      </c>
      <c r="CS155" s="363">
        <v>0</v>
      </c>
      <c r="CT155" s="363">
        <v>0</v>
      </c>
      <c r="CU155" s="363">
        <v>0</v>
      </c>
      <c r="CV155" s="363">
        <v>0</v>
      </c>
      <c r="CW155" s="363"/>
      <c r="CX155" s="363"/>
      <c r="CY155" s="363"/>
      <c r="CZ155" s="363"/>
      <c r="DA155" s="363"/>
      <c r="DB155" s="363"/>
      <c r="DC155" s="363"/>
      <c r="DD155" s="363">
        <v>0</v>
      </c>
      <c r="DE155" s="363">
        <v>0</v>
      </c>
      <c r="DF155" s="363">
        <v>0</v>
      </c>
      <c r="DG155" s="363">
        <v>0</v>
      </c>
      <c r="DH155" s="363">
        <v>0</v>
      </c>
      <c r="DI155" s="363">
        <v>0</v>
      </c>
      <c r="DJ155" s="363">
        <v>0</v>
      </c>
      <c r="DK155" s="363">
        <v>0</v>
      </c>
      <c r="DL155" s="363">
        <v>0</v>
      </c>
      <c r="DM155" s="363">
        <v>0</v>
      </c>
      <c r="DN155" s="363">
        <v>0</v>
      </c>
      <c r="DO155" s="363">
        <v>0</v>
      </c>
      <c r="DP155" s="363"/>
      <c r="DQ155" s="363"/>
      <c r="DR155" s="363">
        <v>0</v>
      </c>
      <c r="DS155" s="363">
        <v>0</v>
      </c>
      <c r="DT155" s="363">
        <v>0</v>
      </c>
      <c r="DU155" s="363">
        <v>0</v>
      </c>
      <c r="DV155" s="363">
        <v>0</v>
      </c>
      <c r="DW155" s="689">
        <f t="shared" si="20"/>
        <v>0</v>
      </c>
      <c r="DX155" s="858"/>
      <c r="DY155" s="705"/>
      <c r="DZ155" s="871"/>
      <c r="EA155" s="873"/>
      <c r="EB155" s="859"/>
      <c r="EC155" s="859"/>
      <c r="ED155" s="859"/>
      <c r="EE155" s="859"/>
      <c r="EF155" s="861"/>
      <c r="EG155" s="1106"/>
      <c r="EI155" s="858"/>
      <c r="EJ155" s="877"/>
      <c r="ER155" s="497"/>
    </row>
    <row r="156" spans="1:148" s="278" customFormat="1" ht="12.75" outlineLevel="2" thickBot="1" x14ac:dyDescent="0.25">
      <c r="A156" s="939"/>
      <c r="B156" s="964"/>
      <c r="C156" s="956"/>
      <c r="D156" s="959"/>
      <c r="E156" s="875"/>
      <c r="F156" s="313" t="s">
        <v>211</v>
      </c>
      <c r="G156" s="387">
        <v>0</v>
      </c>
      <c r="H156" s="387">
        <v>0</v>
      </c>
      <c r="I156" s="387">
        <v>0</v>
      </c>
      <c r="J156" s="387">
        <v>0</v>
      </c>
      <c r="K156" s="387">
        <v>0</v>
      </c>
      <c r="L156" s="387">
        <v>0</v>
      </c>
      <c r="M156" s="387">
        <v>0</v>
      </c>
      <c r="N156" s="387">
        <v>0</v>
      </c>
      <c r="O156" s="387">
        <v>0</v>
      </c>
      <c r="P156" s="387">
        <v>0</v>
      </c>
      <c r="Q156" s="387">
        <v>0</v>
      </c>
      <c r="R156" s="387">
        <v>0</v>
      </c>
      <c r="S156" s="387">
        <v>0</v>
      </c>
      <c r="T156" s="387">
        <v>0</v>
      </c>
      <c r="U156" s="387">
        <v>0</v>
      </c>
      <c r="V156" s="387">
        <v>0</v>
      </c>
      <c r="W156" s="387">
        <v>0</v>
      </c>
      <c r="X156" s="387">
        <v>0</v>
      </c>
      <c r="Y156" s="387">
        <v>0</v>
      </c>
      <c r="Z156" s="387">
        <v>0</v>
      </c>
      <c r="AA156" s="387">
        <v>0</v>
      </c>
      <c r="AB156" s="387">
        <v>0</v>
      </c>
      <c r="AC156" s="387">
        <v>0</v>
      </c>
      <c r="AD156" s="387">
        <v>0</v>
      </c>
      <c r="AE156" s="387">
        <v>0</v>
      </c>
      <c r="AF156" s="387">
        <v>0</v>
      </c>
      <c r="AG156" s="387">
        <v>0</v>
      </c>
      <c r="AH156" s="387">
        <v>0</v>
      </c>
      <c r="AI156" s="387">
        <v>0</v>
      </c>
      <c r="AJ156" s="387">
        <v>0</v>
      </c>
      <c r="AK156" s="387">
        <v>0</v>
      </c>
      <c r="AL156" s="387">
        <v>0</v>
      </c>
      <c r="AM156" s="387">
        <v>0</v>
      </c>
      <c r="AN156" s="387">
        <v>0</v>
      </c>
      <c r="AO156" s="387">
        <v>0</v>
      </c>
      <c r="AP156" s="387">
        <v>0</v>
      </c>
      <c r="AQ156" s="387">
        <v>0</v>
      </c>
      <c r="AR156" s="387">
        <v>0</v>
      </c>
      <c r="AS156" s="387">
        <v>0</v>
      </c>
      <c r="AT156" s="387">
        <v>0</v>
      </c>
      <c r="AU156" s="387">
        <v>0</v>
      </c>
      <c r="AV156" s="387">
        <v>0</v>
      </c>
      <c r="AW156" s="387">
        <v>0</v>
      </c>
      <c r="AX156" s="387">
        <v>0</v>
      </c>
      <c r="AY156" s="387">
        <v>0</v>
      </c>
      <c r="AZ156" s="387">
        <v>0</v>
      </c>
      <c r="BA156" s="387">
        <v>0</v>
      </c>
      <c r="BB156" s="387">
        <v>0</v>
      </c>
      <c r="BC156" s="387">
        <v>0</v>
      </c>
      <c r="BD156" s="387">
        <v>0</v>
      </c>
      <c r="BE156" s="387">
        <v>0</v>
      </c>
      <c r="BF156" s="387">
        <v>0</v>
      </c>
      <c r="BG156" s="387">
        <v>0</v>
      </c>
      <c r="BH156" s="387">
        <v>0</v>
      </c>
      <c r="BI156" s="387">
        <v>0</v>
      </c>
      <c r="BJ156" s="387">
        <v>0</v>
      </c>
      <c r="BK156" s="387">
        <v>0</v>
      </c>
      <c r="BL156" s="387">
        <v>0</v>
      </c>
      <c r="BM156" s="387">
        <v>0</v>
      </c>
      <c r="BN156" s="387">
        <v>0</v>
      </c>
      <c r="BO156" s="387">
        <v>0</v>
      </c>
      <c r="BP156" s="387">
        <v>0</v>
      </c>
      <c r="BQ156" s="387">
        <v>0</v>
      </c>
      <c r="BR156" s="387">
        <v>0</v>
      </c>
      <c r="BS156" s="387">
        <v>0</v>
      </c>
      <c r="BT156" s="387">
        <v>0</v>
      </c>
      <c r="BU156" s="387">
        <v>0</v>
      </c>
      <c r="BV156" s="387">
        <v>0</v>
      </c>
      <c r="BW156" s="387">
        <v>0</v>
      </c>
      <c r="BX156" s="387">
        <v>0</v>
      </c>
      <c r="BY156" s="387">
        <v>0</v>
      </c>
      <c r="BZ156" s="387">
        <v>0</v>
      </c>
      <c r="CA156" s="387">
        <v>0</v>
      </c>
      <c r="CB156" s="387">
        <v>0</v>
      </c>
      <c r="CC156" s="387">
        <v>0</v>
      </c>
      <c r="CD156" s="387">
        <v>0</v>
      </c>
      <c r="CE156" s="387">
        <v>0</v>
      </c>
      <c r="CF156" s="387">
        <v>0</v>
      </c>
      <c r="CG156" s="387">
        <v>0</v>
      </c>
      <c r="CH156" s="387">
        <v>0</v>
      </c>
      <c r="CI156" s="387">
        <v>0</v>
      </c>
      <c r="CJ156" s="387">
        <v>0</v>
      </c>
      <c r="CK156" s="387">
        <v>0</v>
      </c>
      <c r="CL156" s="387">
        <v>0</v>
      </c>
      <c r="CM156" s="387">
        <v>0</v>
      </c>
      <c r="CN156" s="387">
        <v>0</v>
      </c>
      <c r="CO156" s="387">
        <v>0</v>
      </c>
      <c r="CP156" s="387">
        <v>0</v>
      </c>
      <c r="CQ156" s="387">
        <v>0</v>
      </c>
      <c r="CR156" s="387">
        <v>0</v>
      </c>
      <c r="CS156" s="387">
        <v>0</v>
      </c>
      <c r="CT156" s="387">
        <v>0</v>
      </c>
      <c r="CU156" s="387">
        <v>0</v>
      </c>
      <c r="CV156" s="387">
        <v>0</v>
      </c>
      <c r="CW156" s="387"/>
      <c r="CX156" s="387"/>
      <c r="CY156" s="387"/>
      <c r="CZ156" s="387"/>
      <c r="DA156" s="387"/>
      <c r="DB156" s="387"/>
      <c r="DC156" s="387"/>
      <c r="DD156" s="387">
        <v>0</v>
      </c>
      <c r="DE156" s="387">
        <v>0</v>
      </c>
      <c r="DF156" s="387">
        <v>0</v>
      </c>
      <c r="DG156" s="387">
        <v>0</v>
      </c>
      <c r="DH156" s="387">
        <v>0</v>
      </c>
      <c r="DI156" s="387">
        <v>0</v>
      </c>
      <c r="DJ156" s="387">
        <v>0</v>
      </c>
      <c r="DK156" s="387">
        <v>0</v>
      </c>
      <c r="DL156" s="387">
        <v>0</v>
      </c>
      <c r="DM156" s="387">
        <v>0</v>
      </c>
      <c r="DN156" s="387">
        <v>0</v>
      </c>
      <c r="DO156" s="387">
        <v>0</v>
      </c>
      <c r="DP156" s="387">
        <v>0</v>
      </c>
      <c r="DQ156" s="387">
        <v>0</v>
      </c>
      <c r="DR156" s="387">
        <v>0</v>
      </c>
      <c r="DS156" s="387">
        <v>0</v>
      </c>
      <c r="DT156" s="387">
        <v>0</v>
      </c>
      <c r="DU156" s="387">
        <v>0</v>
      </c>
      <c r="DV156" s="387">
        <v>0</v>
      </c>
      <c r="DW156" s="690">
        <f t="shared" si="20"/>
        <v>0</v>
      </c>
      <c r="DX156" s="858"/>
      <c r="DY156" s="706"/>
      <c r="DZ156" s="872"/>
      <c r="EA156" s="873"/>
      <c r="EB156" s="859"/>
      <c r="EC156" s="859"/>
      <c r="ED156" s="859"/>
      <c r="EE156" s="859"/>
      <c r="EF156" s="861"/>
      <c r="EG156" s="1107"/>
      <c r="EI156" s="858"/>
      <c r="EJ156" s="877"/>
      <c r="ER156" s="497"/>
    </row>
    <row r="157" spans="1:148" s="278" customFormat="1" ht="24" outlineLevel="2" x14ac:dyDescent="0.2">
      <c r="A157" s="991" t="s">
        <v>394</v>
      </c>
      <c r="B157" s="943" t="s">
        <v>353</v>
      </c>
      <c r="C157" s="987">
        <f>+C154</f>
        <v>6</v>
      </c>
      <c r="D157" s="1019">
        <f>+'Detalle Plan de Adquisiciones'!L131</f>
        <v>360000000</v>
      </c>
      <c r="E157" s="889" t="str">
        <f>+'Detalle Plan de Adquisiciones'!F131</f>
        <v>INTERVENTORÍA TÉCNICA, ADMINISTRATIVA, FINANCIERA Y AMBIENTAL AL CONTRATO CUYO OBJETO ES: CONSTRUCCIÓN DE 75 PARADEROS TIPO M10 Y 155 PARADEROS TIPO COLOMBINA PERTENECIENTES AL SISTEMA ESTRATÉGICO DE TRANSPORTE PUBLICO "SETP" DE LA CIUDAD DE MONTERÍA.</v>
      </c>
      <c r="F157" s="312" t="s">
        <v>410</v>
      </c>
      <c r="G157" s="363">
        <v>0</v>
      </c>
      <c r="H157" s="363">
        <v>0</v>
      </c>
      <c r="I157" s="363">
        <v>0</v>
      </c>
      <c r="J157" s="363">
        <v>0</v>
      </c>
      <c r="K157" s="363">
        <v>0</v>
      </c>
      <c r="L157" s="363">
        <v>0</v>
      </c>
      <c r="M157" s="363">
        <v>0</v>
      </c>
      <c r="N157" s="363">
        <v>0</v>
      </c>
      <c r="O157" s="363">
        <v>0</v>
      </c>
      <c r="P157" s="363">
        <v>0</v>
      </c>
      <c r="Q157" s="363">
        <v>0</v>
      </c>
      <c r="R157" s="363">
        <v>0</v>
      </c>
      <c r="S157" s="363">
        <v>0</v>
      </c>
      <c r="T157" s="363">
        <v>0</v>
      </c>
      <c r="U157" s="363">
        <v>0</v>
      </c>
      <c r="V157" s="363">
        <v>0</v>
      </c>
      <c r="W157" s="363">
        <v>0</v>
      </c>
      <c r="X157" s="363">
        <v>0</v>
      </c>
      <c r="Y157" s="363">
        <v>0</v>
      </c>
      <c r="Z157" s="363">
        <v>0</v>
      </c>
      <c r="AA157" s="363">
        <v>0</v>
      </c>
      <c r="AB157" s="363">
        <v>0</v>
      </c>
      <c r="AC157" s="363">
        <v>0</v>
      </c>
      <c r="AD157" s="363">
        <v>0</v>
      </c>
      <c r="AE157" s="363">
        <v>0</v>
      </c>
      <c r="AF157" s="363">
        <v>0</v>
      </c>
      <c r="AG157" s="363">
        <v>0</v>
      </c>
      <c r="AH157" s="363">
        <v>0</v>
      </c>
      <c r="AI157" s="363">
        <v>0</v>
      </c>
      <c r="AJ157" s="363">
        <v>0</v>
      </c>
      <c r="AK157" s="363">
        <v>0</v>
      </c>
      <c r="AL157" s="363">
        <v>0</v>
      </c>
      <c r="AM157" s="363">
        <v>0</v>
      </c>
      <c r="AN157" s="363">
        <v>0</v>
      </c>
      <c r="AO157" s="363">
        <v>0</v>
      </c>
      <c r="AP157" s="363">
        <v>0</v>
      </c>
      <c r="AQ157" s="363">
        <v>0</v>
      </c>
      <c r="AR157" s="363">
        <v>0</v>
      </c>
      <c r="AS157" s="363">
        <v>0</v>
      </c>
      <c r="AT157" s="363">
        <v>0</v>
      </c>
      <c r="AU157" s="363">
        <v>0</v>
      </c>
      <c r="AV157" s="363">
        <v>0</v>
      </c>
      <c r="AW157" s="363">
        <v>0</v>
      </c>
      <c r="AX157" s="363">
        <v>0</v>
      </c>
      <c r="AY157" s="363">
        <v>0</v>
      </c>
      <c r="AZ157" s="363">
        <v>0</v>
      </c>
      <c r="BA157" s="363">
        <v>0</v>
      </c>
      <c r="BB157" s="363">
        <v>0</v>
      </c>
      <c r="BC157" s="363">
        <v>0</v>
      </c>
      <c r="BD157" s="363">
        <v>0</v>
      </c>
      <c r="BE157" s="363">
        <v>0</v>
      </c>
      <c r="BF157" s="363">
        <v>0</v>
      </c>
      <c r="BG157" s="363">
        <v>0</v>
      </c>
      <c r="BH157" s="363">
        <v>0</v>
      </c>
      <c r="BI157" s="363">
        <v>0</v>
      </c>
      <c r="BJ157" s="363">
        <v>0</v>
      </c>
      <c r="BK157" s="363">
        <v>0</v>
      </c>
      <c r="BL157" s="363">
        <v>0</v>
      </c>
      <c r="BM157" s="363">
        <v>0</v>
      </c>
      <c r="BN157" s="363">
        <v>0</v>
      </c>
      <c r="BO157" s="363">
        <v>0</v>
      </c>
      <c r="BP157" s="363">
        <v>0</v>
      </c>
      <c r="BQ157" s="363">
        <v>0</v>
      </c>
      <c r="BR157" s="363">
        <v>0</v>
      </c>
      <c r="BS157" s="363">
        <v>0</v>
      </c>
      <c r="BT157" s="363">
        <v>0</v>
      </c>
      <c r="BU157" s="363">
        <v>0</v>
      </c>
      <c r="BV157" s="363">
        <v>0</v>
      </c>
      <c r="BW157" s="363">
        <v>0</v>
      </c>
      <c r="BX157" s="363">
        <v>0</v>
      </c>
      <c r="BY157" s="363">
        <v>0</v>
      </c>
      <c r="BZ157" s="363">
        <v>0</v>
      </c>
      <c r="CA157" s="363">
        <v>0</v>
      </c>
      <c r="CB157" s="363">
        <v>0</v>
      </c>
      <c r="CC157" s="363">
        <v>0</v>
      </c>
      <c r="CD157" s="363">
        <v>0</v>
      </c>
      <c r="CE157" s="363">
        <v>0</v>
      </c>
      <c r="CF157" s="363">
        <v>0</v>
      </c>
      <c r="CG157" s="363">
        <v>0</v>
      </c>
      <c r="CH157" s="363">
        <v>0</v>
      </c>
      <c r="CI157" s="363">
        <v>0</v>
      </c>
      <c r="CJ157" s="363">
        <v>0</v>
      </c>
      <c r="CK157" s="363">
        <v>0</v>
      </c>
      <c r="CL157" s="363">
        <v>0</v>
      </c>
      <c r="CM157" s="363">
        <v>0</v>
      </c>
      <c r="CN157" s="363">
        <v>0</v>
      </c>
      <c r="CO157" s="363">
        <v>0</v>
      </c>
      <c r="CP157" s="363">
        <v>0</v>
      </c>
      <c r="CQ157" s="363">
        <v>0</v>
      </c>
      <c r="CR157" s="363">
        <v>0</v>
      </c>
      <c r="CS157" s="363">
        <v>0</v>
      </c>
      <c r="CT157" s="363">
        <v>0</v>
      </c>
      <c r="CU157" s="363"/>
      <c r="CV157" s="363"/>
      <c r="CW157" s="363"/>
      <c r="CX157" s="363"/>
      <c r="CY157" s="363"/>
      <c r="CZ157" s="363"/>
      <c r="DA157" s="363"/>
      <c r="DB157" s="363"/>
      <c r="DC157" s="363"/>
      <c r="DD157" s="363">
        <v>0</v>
      </c>
      <c r="DE157" s="363"/>
      <c r="DF157" s="363"/>
      <c r="DG157" s="363"/>
      <c r="DH157" s="363"/>
      <c r="DI157" s="363">
        <f>(($D$157*0.8)/5)/1000000</f>
        <v>57.6</v>
      </c>
      <c r="DJ157" s="363">
        <f>(($D$157*0.8)/5)/1000000</f>
        <v>57.6</v>
      </c>
      <c r="DK157" s="363">
        <f>(($D$157*0.8)/5)/1000000</f>
        <v>57.6</v>
      </c>
      <c r="DL157" s="363">
        <f>(($D$157*0.8)/5)/1000000</f>
        <v>57.6</v>
      </c>
      <c r="DM157" s="363">
        <f>(($D$157*0.8)/5)/1000000</f>
        <v>57.6</v>
      </c>
      <c r="DN157" s="363">
        <f>(+$D$157*0.2)/1000000-40</f>
        <v>32</v>
      </c>
      <c r="DO157" s="363">
        <v>0</v>
      </c>
      <c r="DP157" s="363">
        <v>0</v>
      </c>
      <c r="DQ157" s="363">
        <v>0</v>
      </c>
      <c r="DR157" s="363">
        <v>0</v>
      </c>
      <c r="DS157" s="363">
        <v>0</v>
      </c>
      <c r="DT157" s="363">
        <v>0</v>
      </c>
      <c r="DU157" s="363">
        <v>0</v>
      </c>
      <c r="DV157" s="363">
        <v>0</v>
      </c>
      <c r="DW157" s="688">
        <f t="shared" si="20"/>
        <v>320</v>
      </c>
      <c r="DX157" s="858">
        <f>DW157+DW158+DW159</f>
        <v>360</v>
      </c>
      <c r="DY157" s="704">
        <f>+DX157*1000000</f>
        <v>360000000</v>
      </c>
      <c r="DZ157" s="870">
        <f>+DY157-D157</f>
        <v>0</v>
      </c>
      <c r="EA157" s="873">
        <f>VLOOKUP(POA!$B157,INTERPLAN,28,0)</f>
        <v>43358</v>
      </c>
      <c r="EB157" s="859">
        <f>+EDATE(EA157,C157)</f>
        <v>43539</v>
      </c>
      <c r="EC157" s="859">
        <f>EB157+30</f>
        <v>43569</v>
      </c>
      <c r="ED157" s="859" t="str">
        <f>CONCATENATE(MONTH(EA157),"-",YEAR(EA157))</f>
        <v>9-2018</v>
      </c>
      <c r="EE157" s="859" t="str">
        <f>CONCATENATE(MONTH(EB157),"-",YEAR(EB157))</f>
        <v>3-2019</v>
      </c>
      <c r="EF157" s="861" t="str">
        <f>CONCATENATE(MONTH(EC157),"-",YEAR(EC157))</f>
        <v>4-2019</v>
      </c>
      <c r="EG157" s="1105"/>
      <c r="EI157" s="858">
        <f>+DW157+DW158+DW159</f>
        <v>360</v>
      </c>
      <c r="EJ157" s="877">
        <f>+D157/1000000-EI157</f>
        <v>0</v>
      </c>
      <c r="ER157" s="497"/>
    </row>
    <row r="158" spans="1:148" s="278" customFormat="1" outlineLevel="2" x14ac:dyDescent="0.2">
      <c r="A158" s="938"/>
      <c r="B158" s="944"/>
      <c r="C158" s="955"/>
      <c r="D158" s="958"/>
      <c r="E158" s="867"/>
      <c r="F158" s="311" t="s">
        <v>210</v>
      </c>
      <c r="G158" s="363">
        <v>0</v>
      </c>
      <c r="H158" s="363">
        <v>0</v>
      </c>
      <c r="I158" s="363">
        <v>0</v>
      </c>
      <c r="J158" s="363">
        <v>0</v>
      </c>
      <c r="K158" s="363">
        <v>0</v>
      </c>
      <c r="L158" s="363">
        <v>0</v>
      </c>
      <c r="M158" s="363">
        <v>0</v>
      </c>
      <c r="N158" s="363">
        <v>0</v>
      </c>
      <c r="O158" s="363">
        <v>0</v>
      </c>
      <c r="P158" s="363">
        <v>0</v>
      </c>
      <c r="Q158" s="363">
        <v>0</v>
      </c>
      <c r="R158" s="363">
        <v>0</v>
      </c>
      <c r="S158" s="363">
        <v>0</v>
      </c>
      <c r="T158" s="363">
        <v>0</v>
      </c>
      <c r="U158" s="363">
        <v>0</v>
      </c>
      <c r="V158" s="363">
        <v>0</v>
      </c>
      <c r="W158" s="363">
        <v>0</v>
      </c>
      <c r="X158" s="363">
        <v>0</v>
      </c>
      <c r="Y158" s="363">
        <v>0</v>
      </c>
      <c r="Z158" s="363">
        <v>0</v>
      </c>
      <c r="AA158" s="363">
        <v>0</v>
      </c>
      <c r="AB158" s="363">
        <v>0</v>
      </c>
      <c r="AC158" s="363">
        <v>0</v>
      </c>
      <c r="AD158" s="363">
        <v>0</v>
      </c>
      <c r="AE158" s="363">
        <v>0</v>
      </c>
      <c r="AF158" s="363">
        <v>0</v>
      </c>
      <c r="AG158" s="363">
        <v>0</v>
      </c>
      <c r="AH158" s="363">
        <v>0</v>
      </c>
      <c r="AI158" s="363">
        <v>0</v>
      </c>
      <c r="AJ158" s="363">
        <v>0</v>
      </c>
      <c r="AK158" s="363">
        <v>0</v>
      </c>
      <c r="AL158" s="363">
        <v>0</v>
      </c>
      <c r="AM158" s="363">
        <v>0</v>
      </c>
      <c r="AN158" s="363">
        <v>0</v>
      </c>
      <c r="AO158" s="363">
        <v>0</v>
      </c>
      <c r="AP158" s="363">
        <v>0</v>
      </c>
      <c r="AQ158" s="363">
        <v>0</v>
      </c>
      <c r="AR158" s="363">
        <v>0</v>
      </c>
      <c r="AS158" s="363">
        <v>0</v>
      </c>
      <c r="AT158" s="363">
        <v>0</v>
      </c>
      <c r="AU158" s="363">
        <v>0</v>
      </c>
      <c r="AV158" s="363">
        <v>0</v>
      </c>
      <c r="AW158" s="363">
        <v>0</v>
      </c>
      <c r="AX158" s="363">
        <v>0</v>
      </c>
      <c r="AY158" s="363">
        <v>0</v>
      </c>
      <c r="AZ158" s="363">
        <v>0</v>
      </c>
      <c r="BA158" s="363">
        <v>0</v>
      </c>
      <c r="BB158" s="363">
        <v>0</v>
      </c>
      <c r="BC158" s="363">
        <v>0</v>
      </c>
      <c r="BD158" s="363">
        <v>0</v>
      </c>
      <c r="BE158" s="363">
        <v>0</v>
      </c>
      <c r="BF158" s="363">
        <v>0</v>
      </c>
      <c r="BG158" s="363">
        <v>0</v>
      </c>
      <c r="BH158" s="363">
        <v>0</v>
      </c>
      <c r="BI158" s="363">
        <v>0</v>
      </c>
      <c r="BJ158" s="363">
        <v>0</v>
      </c>
      <c r="BK158" s="363">
        <v>0</v>
      </c>
      <c r="BL158" s="363">
        <v>0</v>
      </c>
      <c r="BM158" s="363">
        <v>0</v>
      </c>
      <c r="BN158" s="363">
        <v>0</v>
      </c>
      <c r="BO158" s="363">
        <v>0</v>
      </c>
      <c r="BP158" s="363">
        <v>0</v>
      </c>
      <c r="BQ158" s="363">
        <v>0</v>
      </c>
      <c r="BR158" s="363">
        <v>0</v>
      </c>
      <c r="BS158" s="363">
        <v>0</v>
      </c>
      <c r="BT158" s="363">
        <v>0</v>
      </c>
      <c r="BU158" s="363">
        <v>0</v>
      </c>
      <c r="BV158" s="363">
        <v>0</v>
      </c>
      <c r="BW158" s="363">
        <v>0</v>
      </c>
      <c r="BX158" s="363">
        <v>0</v>
      </c>
      <c r="BY158" s="363">
        <v>0</v>
      </c>
      <c r="BZ158" s="363">
        <v>0</v>
      </c>
      <c r="CA158" s="363">
        <v>0</v>
      </c>
      <c r="CB158" s="363">
        <v>0</v>
      </c>
      <c r="CC158" s="363">
        <v>0</v>
      </c>
      <c r="CD158" s="363">
        <v>0</v>
      </c>
      <c r="CE158" s="363">
        <v>0</v>
      </c>
      <c r="CF158" s="363">
        <v>0</v>
      </c>
      <c r="CG158" s="363">
        <v>0</v>
      </c>
      <c r="CH158" s="363">
        <v>0</v>
      </c>
      <c r="CI158" s="363">
        <v>0</v>
      </c>
      <c r="CJ158" s="363">
        <v>0</v>
      </c>
      <c r="CK158" s="363">
        <v>0</v>
      </c>
      <c r="CL158" s="363">
        <v>0</v>
      </c>
      <c r="CM158" s="363">
        <v>0</v>
      </c>
      <c r="CN158" s="363">
        <v>0</v>
      </c>
      <c r="CO158" s="363">
        <v>0</v>
      </c>
      <c r="CP158" s="363">
        <v>0</v>
      </c>
      <c r="CQ158" s="363">
        <v>0</v>
      </c>
      <c r="CR158" s="363">
        <v>0</v>
      </c>
      <c r="CS158" s="363">
        <v>0</v>
      </c>
      <c r="CT158" s="363">
        <v>0</v>
      </c>
      <c r="CU158" s="363">
        <v>0</v>
      </c>
      <c r="CV158" s="363">
        <v>0</v>
      </c>
      <c r="CW158" s="363"/>
      <c r="CX158" s="363"/>
      <c r="CY158" s="363"/>
      <c r="CZ158" s="363"/>
      <c r="DA158" s="363"/>
      <c r="DB158" s="363"/>
      <c r="DC158" s="363"/>
      <c r="DD158" s="363">
        <v>0</v>
      </c>
      <c r="DE158" s="363">
        <v>0</v>
      </c>
      <c r="DF158" s="363">
        <v>0</v>
      </c>
      <c r="DG158" s="363">
        <v>0</v>
      </c>
      <c r="DH158" s="363">
        <v>0</v>
      </c>
      <c r="DI158" s="363">
        <v>0</v>
      </c>
      <c r="DJ158" s="363">
        <v>0</v>
      </c>
      <c r="DK158" s="363">
        <v>0</v>
      </c>
      <c r="DL158" s="363">
        <v>0</v>
      </c>
      <c r="DM158" s="363">
        <v>0</v>
      </c>
      <c r="DN158" s="363">
        <v>0</v>
      </c>
      <c r="DO158" s="363">
        <v>0</v>
      </c>
      <c r="DP158" s="363">
        <v>0</v>
      </c>
      <c r="DQ158" s="363">
        <v>0</v>
      </c>
      <c r="DR158" s="363">
        <v>0</v>
      </c>
      <c r="DS158" s="363">
        <v>0</v>
      </c>
      <c r="DT158" s="363">
        <v>0</v>
      </c>
      <c r="DU158" s="363">
        <v>0</v>
      </c>
      <c r="DV158" s="363">
        <v>0</v>
      </c>
      <c r="DW158" s="692">
        <f t="shared" si="20"/>
        <v>0</v>
      </c>
      <c r="DX158" s="858"/>
      <c r="DY158" s="705"/>
      <c r="DZ158" s="871"/>
      <c r="EA158" s="873"/>
      <c r="EB158" s="859"/>
      <c r="EC158" s="859"/>
      <c r="ED158" s="859"/>
      <c r="EE158" s="859"/>
      <c r="EF158" s="861"/>
      <c r="EG158" s="1106"/>
      <c r="EI158" s="858"/>
      <c r="EJ158" s="877"/>
      <c r="ER158" s="497"/>
    </row>
    <row r="159" spans="1:148" s="278" customFormat="1" ht="47.25" customHeight="1" outlineLevel="2" thickBot="1" x14ac:dyDescent="0.25">
      <c r="A159" s="992"/>
      <c r="B159" s="945"/>
      <c r="C159" s="1013"/>
      <c r="D159" s="1020"/>
      <c r="E159" s="868"/>
      <c r="F159" s="315" t="s">
        <v>211</v>
      </c>
      <c r="G159" s="364">
        <v>0</v>
      </c>
      <c r="H159" s="364">
        <v>0</v>
      </c>
      <c r="I159" s="364">
        <v>0</v>
      </c>
      <c r="J159" s="364">
        <v>0</v>
      </c>
      <c r="K159" s="364">
        <v>0</v>
      </c>
      <c r="L159" s="364">
        <v>0</v>
      </c>
      <c r="M159" s="364">
        <v>0</v>
      </c>
      <c r="N159" s="364">
        <v>0</v>
      </c>
      <c r="O159" s="364">
        <v>0</v>
      </c>
      <c r="P159" s="364">
        <v>0</v>
      </c>
      <c r="Q159" s="364">
        <v>0</v>
      </c>
      <c r="R159" s="364">
        <v>0</v>
      </c>
      <c r="S159" s="364">
        <v>0</v>
      </c>
      <c r="T159" s="364">
        <v>0</v>
      </c>
      <c r="U159" s="364">
        <v>0</v>
      </c>
      <c r="V159" s="364">
        <v>0</v>
      </c>
      <c r="W159" s="364">
        <v>0</v>
      </c>
      <c r="X159" s="364">
        <v>0</v>
      </c>
      <c r="Y159" s="364">
        <v>0</v>
      </c>
      <c r="Z159" s="364">
        <v>0</v>
      </c>
      <c r="AA159" s="364">
        <v>0</v>
      </c>
      <c r="AB159" s="364">
        <v>0</v>
      </c>
      <c r="AC159" s="364">
        <v>0</v>
      </c>
      <c r="AD159" s="364">
        <v>0</v>
      </c>
      <c r="AE159" s="364">
        <v>0</v>
      </c>
      <c r="AF159" s="364">
        <v>0</v>
      </c>
      <c r="AG159" s="364">
        <v>0</v>
      </c>
      <c r="AH159" s="364">
        <v>0</v>
      </c>
      <c r="AI159" s="364">
        <v>0</v>
      </c>
      <c r="AJ159" s="364">
        <v>0</v>
      </c>
      <c r="AK159" s="364">
        <v>0</v>
      </c>
      <c r="AL159" s="364">
        <v>0</v>
      </c>
      <c r="AM159" s="364">
        <v>0</v>
      </c>
      <c r="AN159" s="364">
        <v>0</v>
      </c>
      <c r="AO159" s="364">
        <v>0</v>
      </c>
      <c r="AP159" s="364">
        <v>0</v>
      </c>
      <c r="AQ159" s="364">
        <v>0</v>
      </c>
      <c r="AR159" s="364">
        <v>0</v>
      </c>
      <c r="AS159" s="364">
        <v>0</v>
      </c>
      <c r="AT159" s="364">
        <v>0</v>
      </c>
      <c r="AU159" s="364">
        <v>0</v>
      </c>
      <c r="AV159" s="364">
        <v>0</v>
      </c>
      <c r="AW159" s="364">
        <v>0</v>
      </c>
      <c r="AX159" s="364">
        <v>0</v>
      </c>
      <c r="AY159" s="364">
        <v>0</v>
      </c>
      <c r="AZ159" s="364">
        <v>0</v>
      </c>
      <c r="BA159" s="364">
        <v>0</v>
      </c>
      <c r="BB159" s="364">
        <v>0</v>
      </c>
      <c r="BC159" s="364">
        <v>0</v>
      </c>
      <c r="BD159" s="364">
        <v>0</v>
      </c>
      <c r="BE159" s="364">
        <v>0</v>
      </c>
      <c r="BF159" s="364">
        <v>0</v>
      </c>
      <c r="BG159" s="364">
        <v>0</v>
      </c>
      <c r="BH159" s="364">
        <v>0</v>
      </c>
      <c r="BI159" s="364">
        <v>0</v>
      </c>
      <c r="BJ159" s="364">
        <v>0</v>
      </c>
      <c r="BK159" s="364">
        <v>0</v>
      </c>
      <c r="BL159" s="364">
        <v>0</v>
      </c>
      <c r="BM159" s="364">
        <v>0</v>
      </c>
      <c r="BN159" s="364">
        <v>0</v>
      </c>
      <c r="BO159" s="364">
        <v>0</v>
      </c>
      <c r="BP159" s="364">
        <v>0</v>
      </c>
      <c r="BQ159" s="364">
        <v>0</v>
      </c>
      <c r="BR159" s="364">
        <v>0</v>
      </c>
      <c r="BS159" s="364">
        <v>0</v>
      </c>
      <c r="BT159" s="364">
        <v>0</v>
      </c>
      <c r="BU159" s="364">
        <v>0</v>
      </c>
      <c r="BV159" s="364">
        <v>0</v>
      </c>
      <c r="BW159" s="364">
        <v>0</v>
      </c>
      <c r="BX159" s="364">
        <v>0</v>
      </c>
      <c r="BY159" s="364">
        <v>0</v>
      </c>
      <c r="BZ159" s="364">
        <v>0</v>
      </c>
      <c r="CA159" s="364">
        <v>0</v>
      </c>
      <c r="CB159" s="364">
        <v>0</v>
      </c>
      <c r="CC159" s="364">
        <v>0</v>
      </c>
      <c r="CD159" s="364">
        <v>0</v>
      </c>
      <c r="CE159" s="364">
        <v>0</v>
      </c>
      <c r="CF159" s="364">
        <v>0</v>
      </c>
      <c r="CG159" s="364">
        <v>0</v>
      </c>
      <c r="CH159" s="364">
        <v>0</v>
      </c>
      <c r="CI159" s="364">
        <v>0</v>
      </c>
      <c r="CJ159" s="364">
        <v>0</v>
      </c>
      <c r="CK159" s="364">
        <v>0</v>
      </c>
      <c r="CL159" s="364">
        <v>0</v>
      </c>
      <c r="CM159" s="364">
        <v>0</v>
      </c>
      <c r="CN159" s="364">
        <v>0</v>
      </c>
      <c r="CO159" s="364">
        <v>0</v>
      </c>
      <c r="CP159" s="364">
        <v>0</v>
      </c>
      <c r="CQ159" s="364">
        <v>0</v>
      </c>
      <c r="CR159" s="364">
        <v>0</v>
      </c>
      <c r="CS159" s="364">
        <v>0</v>
      </c>
      <c r="CT159" s="364">
        <v>0</v>
      </c>
      <c r="CU159" s="364"/>
      <c r="CV159" s="525"/>
      <c r="CW159" s="525"/>
      <c r="CX159" s="525"/>
      <c r="CY159" s="525"/>
      <c r="CZ159" s="364"/>
      <c r="DA159" s="364"/>
      <c r="DB159" s="364"/>
      <c r="DC159" s="364"/>
      <c r="DD159" s="364">
        <v>0</v>
      </c>
      <c r="DE159" s="364">
        <v>0</v>
      </c>
      <c r="DF159" s="364">
        <v>0</v>
      </c>
      <c r="DG159" s="364">
        <v>0</v>
      </c>
      <c r="DH159" s="364">
        <v>0</v>
      </c>
      <c r="DI159" s="364">
        <v>0</v>
      </c>
      <c r="DK159" s="364">
        <v>0</v>
      </c>
      <c r="DM159" s="364">
        <v>0</v>
      </c>
      <c r="DN159" s="364">
        <v>0</v>
      </c>
      <c r="DO159" s="364">
        <v>40</v>
      </c>
      <c r="DP159" s="364">
        <v>0</v>
      </c>
      <c r="DQ159" s="364">
        <v>0</v>
      </c>
      <c r="DR159" s="364">
        <v>0</v>
      </c>
      <c r="DS159" s="364">
        <v>0</v>
      </c>
      <c r="DT159" s="364">
        <v>0</v>
      </c>
      <c r="DU159" s="364">
        <v>0</v>
      </c>
      <c r="DV159" s="364">
        <v>0</v>
      </c>
      <c r="DW159" s="749">
        <f t="shared" si="20"/>
        <v>40</v>
      </c>
      <c r="DX159" s="858"/>
      <c r="DY159" s="706"/>
      <c r="DZ159" s="872"/>
      <c r="EA159" s="873"/>
      <c r="EB159" s="859"/>
      <c r="EC159" s="859"/>
      <c r="ED159" s="859"/>
      <c r="EE159" s="859"/>
      <c r="EF159" s="861"/>
      <c r="EG159" s="1107"/>
      <c r="EI159" s="858"/>
      <c r="EJ159" s="877"/>
      <c r="ER159" s="497"/>
    </row>
    <row r="160" spans="1:148" s="278" customFormat="1" ht="19.5" customHeight="1" outlineLevel="2" x14ac:dyDescent="0.2">
      <c r="A160" s="1082" t="s">
        <v>627</v>
      </c>
      <c r="B160" s="963">
        <v>203</v>
      </c>
      <c r="C160" s="954">
        <v>6</v>
      </c>
      <c r="D160" s="957">
        <f>+IFERROR(VLOOKUP(B160,'Detalle Plan de Adquisiciones'!$G$6:$M$66,7,FALSE),0)</f>
        <v>1505000000</v>
      </c>
      <c r="E160" s="866" t="str">
        <f>+'Detalle Plan de Adquisiciones'!F31</f>
        <v>CONSTRUCCIÓN DEL PAVIMENTO RÍGIDO, ANDENES Y ESPACIO PUBLICO DE LA CALLES 35 ENTRE CARRERA 1 Y CARRERA 5, ID (203). PERTENECIENTE AL SISTEMA ESTRATÉGICO DE TRANSPORTE PUBLICO "SETP" DE LA CIUDAD DE MONTERÍA.</v>
      </c>
      <c r="F160" s="312" t="s">
        <v>410</v>
      </c>
      <c r="G160" s="354">
        <v>0</v>
      </c>
      <c r="H160" s="354">
        <v>0</v>
      </c>
      <c r="I160" s="354">
        <v>0</v>
      </c>
      <c r="J160" s="354">
        <v>0</v>
      </c>
      <c r="K160" s="354">
        <v>0</v>
      </c>
      <c r="L160" s="354">
        <v>0</v>
      </c>
      <c r="M160" s="354">
        <v>0</v>
      </c>
      <c r="N160" s="354">
        <v>0</v>
      </c>
      <c r="O160" s="354">
        <v>0</v>
      </c>
      <c r="P160" s="354">
        <v>0</v>
      </c>
      <c r="Q160" s="354">
        <v>0</v>
      </c>
      <c r="R160" s="354">
        <v>0</v>
      </c>
      <c r="S160" s="354">
        <v>0</v>
      </c>
      <c r="T160" s="354">
        <v>0</v>
      </c>
      <c r="U160" s="354">
        <v>0</v>
      </c>
      <c r="V160" s="354">
        <v>0</v>
      </c>
      <c r="W160" s="354">
        <v>0</v>
      </c>
      <c r="X160" s="354">
        <v>0</v>
      </c>
      <c r="Y160" s="354">
        <v>0</v>
      </c>
      <c r="Z160" s="354">
        <v>0</v>
      </c>
      <c r="AA160" s="354">
        <v>0</v>
      </c>
      <c r="AB160" s="354">
        <v>0</v>
      </c>
      <c r="AC160" s="354">
        <v>0</v>
      </c>
      <c r="AD160" s="354">
        <v>0</v>
      </c>
      <c r="AE160" s="354">
        <v>0</v>
      </c>
      <c r="AF160" s="354">
        <v>0</v>
      </c>
      <c r="AG160" s="354">
        <v>0</v>
      </c>
      <c r="AH160" s="354">
        <v>0</v>
      </c>
      <c r="AI160" s="354">
        <v>0</v>
      </c>
      <c r="AJ160" s="354">
        <v>0</v>
      </c>
      <c r="AK160" s="354">
        <v>0</v>
      </c>
      <c r="AL160" s="354">
        <v>0</v>
      </c>
      <c r="AM160" s="354">
        <v>0</v>
      </c>
      <c r="AN160" s="354">
        <v>0</v>
      </c>
      <c r="AO160" s="354">
        <v>0</v>
      </c>
      <c r="AP160" s="354">
        <v>0</v>
      </c>
      <c r="AQ160" s="354">
        <v>0</v>
      </c>
      <c r="AR160" s="354">
        <v>0</v>
      </c>
      <c r="AS160" s="354">
        <v>0</v>
      </c>
      <c r="AT160" s="354">
        <v>0</v>
      </c>
      <c r="AU160" s="354">
        <v>0</v>
      </c>
      <c r="AV160" s="354">
        <v>0</v>
      </c>
      <c r="AW160" s="354">
        <v>0</v>
      </c>
      <c r="AX160" s="354">
        <v>0</v>
      </c>
      <c r="AY160" s="354">
        <v>0</v>
      </c>
      <c r="AZ160" s="354">
        <v>0</v>
      </c>
      <c r="BA160" s="354">
        <v>0</v>
      </c>
      <c r="BB160" s="354">
        <v>0</v>
      </c>
      <c r="BC160" s="354">
        <v>0</v>
      </c>
      <c r="BD160" s="354">
        <v>0</v>
      </c>
      <c r="BE160" s="354">
        <v>0</v>
      </c>
      <c r="BF160" s="354">
        <v>0</v>
      </c>
      <c r="BG160" s="354">
        <v>0</v>
      </c>
      <c r="BH160" s="354">
        <v>0</v>
      </c>
      <c r="BI160" s="354">
        <v>0</v>
      </c>
      <c r="BJ160" s="354">
        <v>0</v>
      </c>
      <c r="BK160" s="354">
        <v>0</v>
      </c>
      <c r="BL160" s="354">
        <v>0</v>
      </c>
      <c r="BM160" s="354">
        <v>0</v>
      </c>
      <c r="BN160" s="354">
        <v>0</v>
      </c>
      <c r="BO160" s="354">
        <v>0</v>
      </c>
      <c r="BP160" s="354">
        <v>0</v>
      </c>
      <c r="BQ160" s="354">
        <v>0</v>
      </c>
      <c r="BR160" s="354">
        <v>0</v>
      </c>
      <c r="BS160" s="354">
        <v>0</v>
      </c>
      <c r="BT160" s="354">
        <v>0</v>
      </c>
      <c r="BU160" s="354">
        <v>0</v>
      </c>
      <c r="BV160" s="354">
        <v>0</v>
      </c>
      <c r="BW160" s="354">
        <v>0</v>
      </c>
      <c r="BX160" s="354">
        <v>0</v>
      </c>
      <c r="BY160" s="354">
        <v>0</v>
      </c>
      <c r="BZ160" s="354">
        <v>0</v>
      </c>
      <c r="CA160" s="354">
        <v>0</v>
      </c>
      <c r="CB160" s="354">
        <v>0</v>
      </c>
      <c r="CC160" s="354">
        <v>0</v>
      </c>
      <c r="CD160" s="354">
        <v>0</v>
      </c>
      <c r="CE160" s="354">
        <v>0</v>
      </c>
      <c r="CF160" s="354">
        <v>0</v>
      </c>
      <c r="CG160" s="354">
        <v>0</v>
      </c>
      <c r="CH160" s="354">
        <v>0</v>
      </c>
      <c r="CI160" s="354">
        <v>0</v>
      </c>
      <c r="CJ160" s="354">
        <v>0</v>
      </c>
      <c r="CK160" s="354">
        <v>0</v>
      </c>
      <c r="CL160" s="354">
        <v>0</v>
      </c>
      <c r="CM160" s="354">
        <v>0</v>
      </c>
      <c r="CN160" s="354">
        <v>0</v>
      </c>
      <c r="CO160" s="354">
        <v>0</v>
      </c>
      <c r="CP160" s="354">
        <v>0</v>
      </c>
      <c r="CQ160" s="354">
        <v>0</v>
      </c>
      <c r="CR160" s="354">
        <v>0</v>
      </c>
      <c r="CS160" s="354">
        <v>0</v>
      </c>
      <c r="CT160" s="354">
        <v>0</v>
      </c>
      <c r="CU160" s="354">
        <v>0</v>
      </c>
      <c r="CV160" s="354">
        <v>0</v>
      </c>
      <c r="CW160" s="354">
        <v>0</v>
      </c>
      <c r="CX160" s="354">
        <v>0</v>
      </c>
      <c r="CY160" s="354">
        <v>0</v>
      </c>
      <c r="CZ160" s="354">
        <v>0</v>
      </c>
      <c r="DA160" s="354">
        <v>0</v>
      </c>
      <c r="DB160" s="354">
        <v>0</v>
      </c>
      <c r="DC160" s="354"/>
      <c r="DD160" s="354"/>
      <c r="DE160" s="354"/>
      <c r="DF160" s="354"/>
      <c r="DG160" s="739"/>
      <c r="DH160" s="739"/>
      <c r="DI160" s="739"/>
      <c r="DJ160" s="739">
        <f>(D160*0.2)/1000000</f>
        <v>301</v>
      </c>
      <c r="DK160" s="739">
        <f>(($D$160*0.7)/4)/1000000</f>
        <v>263.37499999999994</v>
      </c>
      <c r="DL160" s="739">
        <f>(($D$160*0.7)/4)/1000000</f>
        <v>263.37499999999994</v>
      </c>
      <c r="DM160" s="739">
        <f>(($D$160*0.7)/4)/1000000</f>
        <v>263.37499999999994</v>
      </c>
      <c r="DN160" s="739">
        <f>(($D$160*0.7)/4)/1000000</f>
        <v>263.37499999999994</v>
      </c>
      <c r="DO160" s="739">
        <f>(D160*0.1)/1000000</f>
        <v>150.5</v>
      </c>
      <c r="DP160" s="354">
        <v>0</v>
      </c>
      <c r="DQ160" s="354">
        <v>0</v>
      </c>
      <c r="DR160" s="354">
        <v>0</v>
      </c>
      <c r="DS160" s="354">
        <v>0</v>
      </c>
      <c r="DT160" s="354">
        <v>0</v>
      </c>
      <c r="DU160" s="354">
        <v>0</v>
      </c>
      <c r="DV160" s="354">
        <v>0</v>
      </c>
      <c r="DW160" s="543">
        <f t="shared" ref="DW160:DW165" si="21">SUM(G160:DV160)</f>
        <v>1505</v>
      </c>
      <c r="DX160" s="858">
        <f>DW160+DW161+DW162</f>
        <v>1505</v>
      </c>
      <c r="DY160" s="704">
        <f>+DX160*1000000</f>
        <v>1505000000</v>
      </c>
      <c r="DZ160" s="870">
        <f>+DY160-D160</f>
        <v>0</v>
      </c>
      <c r="EA160" s="873">
        <f>VLOOKUP(POA!$B160,'Detalle Plan de Adquisiciones'!$G$6:$AF$66,23,0)</f>
        <v>43358</v>
      </c>
      <c r="EB160" s="859">
        <f>VLOOKUP(POA!$B160,'Detalle Plan de Adquisiciones'!$G$6:$AF$66,25,0)</f>
        <v>43539</v>
      </c>
      <c r="EC160" s="859">
        <f>EB160+30</f>
        <v>43569</v>
      </c>
      <c r="ED160" s="859" t="str">
        <f>CONCATENATE(MONTH(EA160),"-",YEAR(EA160))</f>
        <v>9-2018</v>
      </c>
      <c r="EE160" s="859" t="str">
        <f>CONCATENATE(MONTH(EB160),"-",YEAR(EB160))</f>
        <v>3-2019</v>
      </c>
      <c r="EF160" s="861" t="str">
        <f>CONCATENATE(MONTH(EC160),"-",YEAR(EC160))</f>
        <v>4-2019</v>
      </c>
      <c r="EG160" s="1105">
        <f>+YEAR(EA160)</f>
        <v>2018</v>
      </c>
      <c r="EH160" s="393">
        <f>+DY160</f>
        <v>1505000000</v>
      </c>
      <c r="EI160" s="858">
        <f>+DW160+DW161+DW162</f>
        <v>1505</v>
      </c>
      <c r="EJ160" s="877">
        <f>+D160/1000000-EI160</f>
        <v>0</v>
      </c>
      <c r="ER160" s="497"/>
    </row>
    <row r="161" spans="1:148" s="278" customFormat="1" ht="19.5" customHeight="1" outlineLevel="2" x14ac:dyDescent="0.2">
      <c r="A161" s="1083"/>
      <c r="B161" s="944"/>
      <c r="C161" s="955"/>
      <c r="D161" s="958"/>
      <c r="E161" s="867"/>
      <c r="F161" s="311" t="s">
        <v>210</v>
      </c>
      <c r="G161" s="363">
        <v>0</v>
      </c>
      <c r="H161" s="363">
        <v>0</v>
      </c>
      <c r="I161" s="363">
        <v>0</v>
      </c>
      <c r="J161" s="363">
        <v>0</v>
      </c>
      <c r="K161" s="363">
        <v>0</v>
      </c>
      <c r="L161" s="363">
        <v>0</v>
      </c>
      <c r="M161" s="363">
        <v>0</v>
      </c>
      <c r="N161" s="363">
        <v>0</v>
      </c>
      <c r="O161" s="363">
        <v>0</v>
      </c>
      <c r="P161" s="363">
        <v>0</v>
      </c>
      <c r="Q161" s="363">
        <v>0</v>
      </c>
      <c r="R161" s="363">
        <v>0</v>
      </c>
      <c r="S161" s="363">
        <v>0</v>
      </c>
      <c r="T161" s="363">
        <v>0</v>
      </c>
      <c r="U161" s="363">
        <v>0</v>
      </c>
      <c r="V161" s="363">
        <v>0</v>
      </c>
      <c r="W161" s="363">
        <v>0</v>
      </c>
      <c r="X161" s="363">
        <v>0</v>
      </c>
      <c r="Y161" s="363">
        <v>0</v>
      </c>
      <c r="Z161" s="363">
        <v>0</v>
      </c>
      <c r="AA161" s="363">
        <v>0</v>
      </c>
      <c r="AB161" s="363">
        <v>0</v>
      </c>
      <c r="AC161" s="363">
        <v>0</v>
      </c>
      <c r="AD161" s="363">
        <v>0</v>
      </c>
      <c r="AE161" s="363">
        <v>0</v>
      </c>
      <c r="AF161" s="363">
        <v>0</v>
      </c>
      <c r="AG161" s="363">
        <v>0</v>
      </c>
      <c r="AH161" s="363">
        <v>0</v>
      </c>
      <c r="AI161" s="363">
        <v>0</v>
      </c>
      <c r="AJ161" s="363">
        <v>0</v>
      </c>
      <c r="AK161" s="363">
        <v>0</v>
      </c>
      <c r="AL161" s="363">
        <v>0</v>
      </c>
      <c r="AM161" s="363">
        <v>0</v>
      </c>
      <c r="AN161" s="363">
        <v>0</v>
      </c>
      <c r="AO161" s="363">
        <v>0</v>
      </c>
      <c r="AP161" s="363">
        <v>0</v>
      </c>
      <c r="AQ161" s="363">
        <v>0</v>
      </c>
      <c r="AR161" s="363">
        <v>0</v>
      </c>
      <c r="AS161" s="363">
        <v>0</v>
      </c>
      <c r="AT161" s="363">
        <v>0</v>
      </c>
      <c r="AU161" s="363">
        <v>0</v>
      </c>
      <c r="AV161" s="363">
        <v>0</v>
      </c>
      <c r="AW161" s="363">
        <v>0</v>
      </c>
      <c r="AX161" s="363">
        <v>0</v>
      </c>
      <c r="AY161" s="363">
        <v>0</v>
      </c>
      <c r="AZ161" s="363">
        <v>0</v>
      </c>
      <c r="BA161" s="363">
        <v>0</v>
      </c>
      <c r="BB161" s="363">
        <v>0</v>
      </c>
      <c r="BC161" s="363">
        <v>0</v>
      </c>
      <c r="BD161" s="363">
        <v>0</v>
      </c>
      <c r="BE161" s="363">
        <v>0</v>
      </c>
      <c r="BF161" s="363">
        <v>0</v>
      </c>
      <c r="BG161" s="363">
        <v>0</v>
      </c>
      <c r="BH161" s="363">
        <v>0</v>
      </c>
      <c r="BI161" s="363">
        <v>0</v>
      </c>
      <c r="BJ161" s="363">
        <v>0</v>
      </c>
      <c r="BK161" s="363">
        <v>0</v>
      </c>
      <c r="BL161" s="363">
        <v>0</v>
      </c>
      <c r="BM161" s="363">
        <v>0</v>
      </c>
      <c r="BN161" s="363">
        <v>0</v>
      </c>
      <c r="BO161" s="363">
        <v>0</v>
      </c>
      <c r="BP161" s="363">
        <v>0</v>
      </c>
      <c r="BQ161" s="363">
        <v>0</v>
      </c>
      <c r="BR161" s="363">
        <v>0</v>
      </c>
      <c r="BS161" s="363">
        <v>0</v>
      </c>
      <c r="BT161" s="363">
        <v>0</v>
      </c>
      <c r="BU161" s="363">
        <v>0</v>
      </c>
      <c r="BV161" s="363">
        <v>0</v>
      </c>
      <c r="BW161" s="363">
        <v>0</v>
      </c>
      <c r="BX161" s="363">
        <v>0</v>
      </c>
      <c r="BY161" s="363">
        <v>0</v>
      </c>
      <c r="BZ161" s="363">
        <v>0</v>
      </c>
      <c r="CA161" s="363">
        <v>0</v>
      </c>
      <c r="CB161" s="363">
        <v>0</v>
      </c>
      <c r="CC161" s="363">
        <v>0</v>
      </c>
      <c r="CD161" s="363">
        <v>0</v>
      </c>
      <c r="CE161" s="363">
        <v>0</v>
      </c>
      <c r="CF161" s="363">
        <v>0</v>
      </c>
      <c r="CG161" s="363">
        <v>0</v>
      </c>
      <c r="CH161" s="363">
        <v>0</v>
      </c>
      <c r="CI161" s="363">
        <v>0</v>
      </c>
      <c r="CJ161" s="363">
        <v>0</v>
      </c>
      <c r="CK161" s="363">
        <v>0</v>
      </c>
      <c r="CL161" s="363">
        <v>0</v>
      </c>
      <c r="CM161" s="363">
        <v>0</v>
      </c>
      <c r="CN161" s="363">
        <v>0</v>
      </c>
      <c r="CO161" s="363">
        <v>0</v>
      </c>
      <c r="CP161" s="363">
        <v>0</v>
      </c>
      <c r="CQ161" s="363">
        <v>0</v>
      </c>
      <c r="CR161" s="363">
        <v>0</v>
      </c>
      <c r="CS161" s="363">
        <v>0</v>
      </c>
      <c r="CT161" s="363">
        <v>0</v>
      </c>
      <c r="CU161" s="363">
        <v>0</v>
      </c>
      <c r="CV161" s="363">
        <v>0</v>
      </c>
      <c r="CW161" s="363">
        <v>0</v>
      </c>
      <c r="CX161" s="363">
        <v>0</v>
      </c>
      <c r="CY161" s="363">
        <v>0</v>
      </c>
      <c r="CZ161" s="363">
        <v>0</v>
      </c>
      <c r="DA161" s="363">
        <v>0</v>
      </c>
      <c r="DB161" s="363">
        <v>0</v>
      </c>
      <c r="DC161" s="363">
        <v>0</v>
      </c>
      <c r="DD161" s="363">
        <v>0</v>
      </c>
      <c r="DE161" s="363">
        <v>0</v>
      </c>
      <c r="DF161" s="363">
        <v>0</v>
      </c>
      <c r="DG161" s="363">
        <v>0</v>
      </c>
      <c r="DH161" s="363">
        <v>0</v>
      </c>
      <c r="DI161" s="363">
        <v>0</v>
      </c>
      <c r="DJ161" s="363">
        <v>0</v>
      </c>
      <c r="DK161" s="363">
        <v>0</v>
      </c>
      <c r="DL161" s="363">
        <v>0</v>
      </c>
      <c r="DM161" s="363">
        <v>0</v>
      </c>
      <c r="DN161" s="363">
        <v>0</v>
      </c>
      <c r="DO161" s="363">
        <v>0</v>
      </c>
      <c r="DP161" s="363">
        <v>0</v>
      </c>
      <c r="DQ161" s="363">
        <v>0</v>
      </c>
      <c r="DR161" s="363">
        <v>0</v>
      </c>
      <c r="DS161" s="363">
        <v>0</v>
      </c>
      <c r="DT161" s="363">
        <v>0</v>
      </c>
      <c r="DU161" s="363">
        <v>0</v>
      </c>
      <c r="DV161" s="363">
        <v>0</v>
      </c>
      <c r="DW161" s="544">
        <f t="shared" si="21"/>
        <v>0</v>
      </c>
      <c r="DX161" s="858"/>
      <c r="DY161" s="705"/>
      <c r="DZ161" s="871"/>
      <c r="EA161" s="873"/>
      <c r="EB161" s="859"/>
      <c r="EC161" s="859"/>
      <c r="ED161" s="859"/>
      <c r="EE161" s="859"/>
      <c r="EF161" s="861"/>
      <c r="EG161" s="1106"/>
      <c r="EI161" s="858"/>
      <c r="EJ161" s="877"/>
      <c r="ER161" s="497"/>
    </row>
    <row r="162" spans="1:148" s="278" customFormat="1" ht="19.5" customHeight="1" outlineLevel="2" thickBot="1" x14ac:dyDescent="0.25">
      <c r="A162" s="1084"/>
      <c r="B162" s="964"/>
      <c r="C162" s="956"/>
      <c r="D162" s="959"/>
      <c r="E162" s="875"/>
      <c r="F162" s="313" t="s">
        <v>211</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v>
      </c>
      <c r="AA162" s="387">
        <v>0</v>
      </c>
      <c r="AB162" s="387">
        <v>0</v>
      </c>
      <c r="AC162" s="387">
        <v>0</v>
      </c>
      <c r="AD162" s="387">
        <v>0</v>
      </c>
      <c r="AE162" s="387">
        <v>0</v>
      </c>
      <c r="AF162" s="387">
        <v>0</v>
      </c>
      <c r="AG162" s="387">
        <v>0</v>
      </c>
      <c r="AH162" s="387">
        <v>0</v>
      </c>
      <c r="AI162" s="387">
        <v>0</v>
      </c>
      <c r="AJ162" s="387">
        <v>0</v>
      </c>
      <c r="AK162" s="387">
        <v>0</v>
      </c>
      <c r="AL162" s="387">
        <v>0</v>
      </c>
      <c r="AM162" s="387">
        <v>0</v>
      </c>
      <c r="AN162" s="387">
        <v>0</v>
      </c>
      <c r="AO162" s="387">
        <v>0</v>
      </c>
      <c r="AP162" s="387">
        <v>0</v>
      </c>
      <c r="AQ162" s="387">
        <v>0</v>
      </c>
      <c r="AR162" s="387">
        <v>0</v>
      </c>
      <c r="AS162" s="387">
        <v>0</v>
      </c>
      <c r="AT162" s="387">
        <v>0</v>
      </c>
      <c r="AU162" s="387">
        <v>0</v>
      </c>
      <c r="AV162" s="387">
        <v>0</v>
      </c>
      <c r="AW162" s="387">
        <v>0</v>
      </c>
      <c r="AX162" s="387">
        <v>0</v>
      </c>
      <c r="AY162" s="387">
        <v>0</v>
      </c>
      <c r="AZ162" s="387">
        <v>0</v>
      </c>
      <c r="BA162" s="387">
        <v>0</v>
      </c>
      <c r="BB162" s="387">
        <v>0</v>
      </c>
      <c r="BC162" s="387">
        <v>0</v>
      </c>
      <c r="BD162" s="387">
        <v>0</v>
      </c>
      <c r="BE162" s="387">
        <v>0</v>
      </c>
      <c r="BF162" s="387">
        <v>0</v>
      </c>
      <c r="BG162" s="387">
        <v>0</v>
      </c>
      <c r="BH162" s="387">
        <v>0</v>
      </c>
      <c r="BI162" s="387">
        <v>0</v>
      </c>
      <c r="BJ162" s="387">
        <v>0</v>
      </c>
      <c r="BK162" s="387">
        <v>0</v>
      </c>
      <c r="BL162" s="387">
        <v>0</v>
      </c>
      <c r="BM162" s="387">
        <v>0</v>
      </c>
      <c r="BN162" s="387">
        <v>0</v>
      </c>
      <c r="BO162" s="387">
        <v>0</v>
      </c>
      <c r="BP162" s="387">
        <v>0</v>
      </c>
      <c r="BQ162" s="387">
        <v>0</v>
      </c>
      <c r="BR162" s="387">
        <v>0</v>
      </c>
      <c r="BS162" s="387">
        <v>0</v>
      </c>
      <c r="BT162" s="387">
        <v>0</v>
      </c>
      <c r="BU162" s="387">
        <v>0</v>
      </c>
      <c r="BV162" s="387">
        <v>0</v>
      </c>
      <c r="BW162" s="387">
        <v>0</v>
      </c>
      <c r="BX162" s="387">
        <v>0</v>
      </c>
      <c r="BY162" s="387">
        <v>0</v>
      </c>
      <c r="BZ162" s="387">
        <v>0</v>
      </c>
      <c r="CA162" s="387">
        <v>0</v>
      </c>
      <c r="CB162" s="387">
        <v>0</v>
      </c>
      <c r="CC162" s="387">
        <v>0</v>
      </c>
      <c r="CD162" s="387">
        <v>0</v>
      </c>
      <c r="CE162" s="387">
        <v>0</v>
      </c>
      <c r="CF162" s="387">
        <v>0</v>
      </c>
      <c r="CG162" s="387">
        <v>0</v>
      </c>
      <c r="CH162" s="387">
        <v>0</v>
      </c>
      <c r="CI162" s="387">
        <v>0</v>
      </c>
      <c r="CJ162" s="387">
        <v>0</v>
      </c>
      <c r="CK162" s="387">
        <v>0</v>
      </c>
      <c r="CL162" s="387">
        <v>0</v>
      </c>
      <c r="CM162" s="387">
        <v>0</v>
      </c>
      <c r="CN162" s="387">
        <v>0</v>
      </c>
      <c r="CO162" s="387">
        <v>0</v>
      </c>
      <c r="CP162" s="387">
        <v>0</v>
      </c>
      <c r="CQ162" s="387">
        <v>0</v>
      </c>
      <c r="CR162" s="387">
        <v>0</v>
      </c>
      <c r="CS162" s="387">
        <v>0</v>
      </c>
      <c r="CT162" s="387">
        <v>0</v>
      </c>
      <c r="CU162" s="387">
        <v>0</v>
      </c>
      <c r="CV162" s="387">
        <v>0</v>
      </c>
      <c r="CW162" s="387">
        <v>0</v>
      </c>
      <c r="CX162" s="387">
        <v>0</v>
      </c>
      <c r="CY162" s="387">
        <v>0</v>
      </c>
      <c r="CZ162" s="387">
        <v>0</v>
      </c>
      <c r="DA162" s="387">
        <v>0</v>
      </c>
      <c r="DB162" s="387">
        <v>0</v>
      </c>
      <c r="DC162" s="387">
        <v>0</v>
      </c>
      <c r="DD162" s="387">
        <v>0</v>
      </c>
      <c r="DE162" s="387">
        <v>0</v>
      </c>
      <c r="DF162" s="387">
        <v>0</v>
      </c>
      <c r="DG162" s="387">
        <v>0</v>
      </c>
      <c r="DH162" s="387">
        <v>0</v>
      </c>
      <c r="DI162" s="387">
        <v>0</v>
      </c>
      <c r="DJ162" s="387">
        <v>0</v>
      </c>
      <c r="DK162" s="387">
        <v>0</v>
      </c>
      <c r="DL162" s="387">
        <v>0</v>
      </c>
      <c r="DM162" s="387">
        <v>0</v>
      </c>
      <c r="DN162" s="387">
        <v>0</v>
      </c>
      <c r="DO162" s="387">
        <v>0</v>
      </c>
      <c r="DP162" s="387">
        <v>0</v>
      </c>
      <c r="DQ162" s="387">
        <v>0</v>
      </c>
      <c r="DR162" s="387">
        <v>0</v>
      </c>
      <c r="DS162" s="387">
        <v>0</v>
      </c>
      <c r="DT162" s="387">
        <v>0</v>
      </c>
      <c r="DU162" s="387">
        <v>0</v>
      </c>
      <c r="DV162" s="387">
        <v>0</v>
      </c>
      <c r="DW162" s="545">
        <f t="shared" si="21"/>
        <v>0</v>
      </c>
      <c r="DX162" s="858"/>
      <c r="DY162" s="706"/>
      <c r="DZ162" s="872"/>
      <c r="EA162" s="873"/>
      <c r="EB162" s="859"/>
      <c r="EC162" s="859"/>
      <c r="ED162" s="859"/>
      <c r="EE162" s="859"/>
      <c r="EF162" s="861"/>
      <c r="EG162" s="1107"/>
      <c r="EI162" s="858"/>
      <c r="EJ162" s="877"/>
      <c r="ER162" s="497"/>
    </row>
    <row r="163" spans="1:148" s="278" customFormat="1" ht="25.5" customHeight="1" outlineLevel="2" x14ac:dyDescent="0.2">
      <c r="A163" s="1114" t="s">
        <v>628</v>
      </c>
      <c r="B163" s="963">
        <v>203</v>
      </c>
      <c r="C163" s="954">
        <v>6</v>
      </c>
      <c r="D163" s="957">
        <f>+IFERROR(VLOOKUP(B163,'Detalle Plan de Adquisiciones'!$G$53:$L$153,6,FALSE),0)</f>
        <v>135450000</v>
      </c>
      <c r="E163" s="866" t="str">
        <f>+'Detalle Plan de Adquisiciones'!F116</f>
        <v>INTERVENTORÍA TÉCNICA, ADMINISTRATIVA, FINANCIERA Y AMBIENTAL AL CONTRATO CUYO OBJETO ES:CONSTRUCCIÓN DEL PAVIMENTO RÍGIDO, ANDENES Y ESPACIO PUBLICO DE LA CALLES 35 ENTRE CARRERA 1 Y CARRERA 5, ID (203). PERTENECIENTE AL SISTEMA ESTRATÉGICO DE TRANSPORTE PUBLICO "SETP" DE LA CIUDAD DE MONTERÍA.</v>
      </c>
      <c r="F163" s="312" t="s">
        <v>410</v>
      </c>
      <c r="G163" s="354">
        <v>0</v>
      </c>
      <c r="H163" s="354">
        <v>0</v>
      </c>
      <c r="I163" s="354">
        <v>0</v>
      </c>
      <c r="J163" s="354">
        <v>0</v>
      </c>
      <c r="K163" s="354">
        <v>0</v>
      </c>
      <c r="L163" s="354">
        <v>0</v>
      </c>
      <c r="M163" s="354">
        <v>0</v>
      </c>
      <c r="N163" s="354">
        <v>0</v>
      </c>
      <c r="O163" s="354">
        <v>0</v>
      </c>
      <c r="P163" s="354">
        <v>0</v>
      </c>
      <c r="Q163" s="354">
        <v>0</v>
      </c>
      <c r="R163" s="354">
        <v>0</v>
      </c>
      <c r="S163" s="354">
        <v>0</v>
      </c>
      <c r="T163" s="354">
        <v>0</v>
      </c>
      <c r="U163" s="354">
        <v>0</v>
      </c>
      <c r="V163" s="354">
        <v>0</v>
      </c>
      <c r="W163" s="354">
        <v>0</v>
      </c>
      <c r="X163" s="354">
        <v>0</v>
      </c>
      <c r="Y163" s="354">
        <v>0</v>
      </c>
      <c r="Z163" s="354">
        <v>0</v>
      </c>
      <c r="AA163" s="354">
        <v>0</v>
      </c>
      <c r="AB163" s="354">
        <v>0</v>
      </c>
      <c r="AC163" s="354">
        <v>0</v>
      </c>
      <c r="AD163" s="354">
        <v>0</v>
      </c>
      <c r="AE163" s="354">
        <v>0</v>
      </c>
      <c r="AF163" s="354">
        <v>0</v>
      </c>
      <c r="AG163" s="354">
        <v>0</v>
      </c>
      <c r="AH163" s="354">
        <v>0</v>
      </c>
      <c r="AI163" s="354">
        <v>0</v>
      </c>
      <c r="AJ163" s="354">
        <v>0</v>
      </c>
      <c r="AK163" s="354">
        <v>0</v>
      </c>
      <c r="AL163" s="354">
        <v>0</v>
      </c>
      <c r="AM163" s="354">
        <v>0</v>
      </c>
      <c r="AN163" s="354">
        <v>0</v>
      </c>
      <c r="AO163" s="354">
        <v>0</v>
      </c>
      <c r="AP163" s="354">
        <v>0</v>
      </c>
      <c r="AQ163" s="354">
        <v>0</v>
      </c>
      <c r="AR163" s="354">
        <v>0</v>
      </c>
      <c r="AS163" s="354">
        <v>0</v>
      </c>
      <c r="AT163" s="354">
        <v>0</v>
      </c>
      <c r="AU163" s="354">
        <v>0</v>
      </c>
      <c r="AV163" s="354">
        <v>0</v>
      </c>
      <c r="AW163" s="354">
        <v>0</v>
      </c>
      <c r="AX163" s="354">
        <v>0</v>
      </c>
      <c r="AY163" s="354">
        <v>0</v>
      </c>
      <c r="AZ163" s="354">
        <v>0</v>
      </c>
      <c r="BA163" s="354">
        <v>0</v>
      </c>
      <c r="BB163" s="354">
        <v>0</v>
      </c>
      <c r="BC163" s="354">
        <v>0</v>
      </c>
      <c r="BD163" s="354">
        <v>0</v>
      </c>
      <c r="BE163" s="354">
        <v>0</v>
      </c>
      <c r="BF163" s="354">
        <v>0</v>
      </c>
      <c r="BG163" s="354">
        <v>0</v>
      </c>
      <c r="BH163" s="354">
        <v>0</v>
      </c>
      <c r="BI163" s="354">
        <v>0</v>
      </c>
      <c r="BJ163" s="354">
        <v>0</v>
      </c>
      <c r="BK163" s="354">
        <v>0</v>
      </c>
      <c r="BL163" s="354">
        <v>0</v>
      </c>
      <c r="BM163" s="354">
        <v>0</v>
      </c>
      <c r="BN163" s="354">
        <v>0</v>
      </c>
      <c r="BO163" s="354">
        <v>0</v>
      </c>
      <c r="BP163" s="354">
        <v>0</v>
      </c>
      <c r="BQ163" s="354">
        <v>0</v>
      </c>
      <c r="BR163" s="354">
        <v>0</v>
      </c>
      <c r="BS163" s="354">
        <v>0</v>
      </c>
      <c r="BT163" s="354">
        <v>0</v>
      </c>
      <c r="BU163" s="354">
        <v>0</v>
      </c>
      <c r="BV163" s="354">
        <v>0</v>
      </c>
      <c r="BW163" s="354">
        <v>0</v>
      </c>
      <c r="BX163" s="354">
        <v>0</v>
      </c>
      <c r="BY163" s="354">
        <v>0</v>
      </c>
      <c r="BZ163" s="354">
        <v>0</v>
      </c>
      <c r="CA163" s="354">
        <v>0</v>
      </c>
      <c r="CB163" s="354">
        <v>0</v>
      </c>
      <c r="CC163" s="354">
        <v>0</v>
      </c>
      <c r="CD163" s="354">
        <v>0</v>
      </c>
      <c r="CE163" s="354">
        <v>0</v>
      </c>
      <c r="CF163" s="354">
        <v>0</v>
      </c>
      <c r="CG163" s="354">
        <v>0</v>
      </c>
      <c r="CH163" s="354">
        <v>0</v>
      </c>
      <c r="CI163" s="354">
        <v>0</v>
      </c>
      <c r="CJ163" s="354">
        <v>0</v>
      </c>
      <c r="CK163" s="354">
        <v>0</v>
      </c>
      <c r="CL163" s="354">
        <v>0</v>
      </c>
      <c r="CM163" s="354">
        <v>0</v>
      </c>
      <c r="CN163" s="354">
        <v>0</v>
      </c>
      <c r="CO163" s="354">
        <v>0</v>
      </c>
      <c r="CP163" s="354">
        <v>0</v>
      </c>
      <c r="CQ163" s="354">
        <v>0</v>
      </c>
      <c r="CR163" s="354">
        <v>0</v>
      </c>
      <c r="CS163" s="354">
        <v>0</v>
      </c>
      <c r="CT163" s="354">
        <v>0</v>
      </c>
      <c r="CU163" s="354">
        <v>0</v>
      </c>
      <c r="CV163" s="354">
        <v>0</v>
      </c>
      <c r="CW163" s="354">
        <v>0</v>
      </c>
      <c r="CX163" s="354">
        <v>0</v>
      </c>
      <c r="CY163" s="354">
        <v>0</v>
      </c>
      <c r="CZ163" s="354">
        <v>0</v>
      </c>
      <c r="DA163" s="354">
        <v>0</v>
      </c>
      <c r="DB163" s="354">
        <v>0</v>
      </c>
      <c r="DC163" s="354"/>
      <c r="DD163" s="354"/>
      <c r="DE163" s="354"/>
      <c r="DF163" s="354"/>
      <c r="DG163" s="354"/>
      <c r="DH163" s="354"/>
      <c r="DI163" s="354"/>
      <c r="DJ163" s="354">
        <f>(($D$163*0.8)/5)/1000000</f>
        <v>21.672000000000001</v>
      </c>
      <c r="DK163" s="354">
        <f>(($D$163*0.8)/5)/1000000</f>
        <v>21.672000000000001</v>
      </c>
      <c r="DL163" s="354">
        <f>(($D$163*0.8)/5)/1000000</f>
        <v>21.672000000000001</v>
      </c>
      <c r="DM163" s="354">
        <f>(($D$163*0.8)/5)/1000000</f>
        <v>21.672000000000001</v>
      </c>
      <c r="DN163" s="354">
        <f>(($D$163*0.8)/5)/1000000</f>
        <v>21.672000000000001</v>
      </c>
      <c r="DO163" s="354">
        <v>27.089999999999982</v>
      </c>
      <c r="DP163" s="354">
        <v>0</v>
      </c>
      <c r="DQ163" s="354">
        <v>0</v>
      </c>
      <c r="DR163" s="354">
        <v>0</v>
      </c>
      <c r="DS163" s="354">
        <v>0</v>
      </c>
      <c r="DT163" s="354">
        <v>0</v>
      </c>
      <c r="DU163" s="354">
        <v>0</v>
      </c>
      <c r="DV163" s="354">
        <v>0</v>
      </c>
      <c r="DW163" s="543">
        <f t="shared" si="21"/>
        <v>135.44999999999999</v>
      </c>
      <c r="DX163" s="858">
        <f>DW163+DW164+DW165</f>
        <v>135.44999999999999</v>
      </c>
      <c r="DY163" s="704">
        <f>+DX163*1000000</f>
        <v>135450000</v>
      </c>
      <c r="DZ163" s="870">
        <f>+DY163-D163</f>
        <v>0</v>
      </c>
      <c r="EA163" s="873">
        <f>VLOOKUP(POA!$B163,INTERPLAN,28,0)</f>
        <v>43358</v>
      </c>
      <c r="EB163" s="859">
        <f>+EDATE(EA163,C163)</f>
        <v>43539</v>
      </c>
      <c r="EC163" s="859">
        <f>EB163+30</f>
        <v>43569</v>
      </c>
      <c r="ED163" s="859" t="str">
        <f>CONCATENATE(MONTH(EA163),"-",YEAR(EA163))</f>
        <v>9-2018</v>
      </c>
      <c r="EE163" s="859" t="str">
        <f>CONCATENATE(MONTH(EB163),"-",YEAR(EB163))</f>
        <v>3-2019</v>
      </c>
      <c r="EF163" s="861" t="str">
        <f>CONCATENATE(MONTH(EC163),"-",YEAR(EC163))</f>
        <v>4-2019</v>
      </c>
      <c r="EG163" s="1105">
        <f>+YEAR(EA163)</f>
        <v>2018</v>
      </c>
      <c r="EH163" s="393">
        <f>+DY163</f>
        <v>135450000</v>
      </c>
      <c r="EI163" s="858">
        <f>+DW163+DW164+DW165</f>
        <v>135.44999999999999</v>
      </c>
      <c r="EJ163" s="877">
        <f>+D163/1000000-EI163</f>
        <v>0</v>
      </c>
      <c r="ER163" s="497"/>
    </row>
    <row r="164" spans="1:148" s="278" customFormat="1" ht="25.5" customHeight="1" outlineLevel="2" x14ac:dyDescent="0.2">
      <c r="A164" s="1115"/>
      <c r="B164" s="944"/>
      <c r="C164" s="955"/>
      <c r="D164" s="958"/>
      <c r="E164" s="867"/>
      <c r="F164" s="311" t="s">
        <v>210</v>
      </c>
      <c r="G164" s="363">
        <v>0</v>
      </c>
      <c r="H164" s="363">
        <v>0</v>
      </c>
      <c r="I164" s="363">
        <v>0</v>
      </c>
      <c r="J164" s="363">
        <v>0</v>
      </c>
      <c r="K164" s="363">
        <v>0</v>
      </c>
      <c r="L164" s="363">
        <v>0</v>
      </c>
      <c r="M164" s="363">
        <v>0</v>
      </c>
      <c r="N164" s="363">
        <v>0</v>
      </c>
      <c r="O164" s="363">
        <v>0</v>
      </c>
      <c r="P164" s="363">
        <v>0</v>
      </c>
      <c r="Q164" s="363">
        <v>0</v>
      </c>
      <c r="R164" s="363">
        <v>0</v>
      </c>
      <c r="S164" s="363">
        <v>0</v>
      </c>
      <c r="T164" s="363">
        <v>0</v>
      </c>
      <c r="U164" s="363">
        <v>0</v>
      </c>
      <c r="V164" s="363">
        <v>0</v>
      </c>
      <c r="W164" s="363">
        <v>0</v>
      </c>
      <c r="X164" s="363">
        <v>0</v>
      </c>
      <c r="Y164" s="363">
        <v>0</v>
      </c>
      <c r="Z164" s="363">
        <v>0</v>
      </c>
      <c r="AA164" s="363">
        <v>0</v>
      </c>
      <c r="AB164" s="363">
        <v>0</v>
      </c>
      <c r="AC164" s="363">
        <v>0</v>
      </c>
      <c r="AD164" s="363">
        <v>0</v>
      </c>
      <c r="AE164" s="363">
        <v>0</v>
      </c>
      <c r="AF164" s="363">
        <v>0</v>
      </c>
      <c r="AG164" s="363">
        <v>0</v>
      </c>
      <c r="AH164" s="363">
        <v>0</v>
      </c>
      <c r="AI164" s="363">
        <v>0</v>
      </c>
      <c r="AJ164" s="363">
        <v>0</v>
      </c>
      <c r="AK164" s="363">
        <v>0</v>
      </c>
      <c r="AL164" s="363">
        <v>0</v>
      </c>
      <c r="AM164" s="363">
        <v>0</v>
      </c>
      <c r="AN164" s="363">
        <v>0</v>
      </c>
      <c r="AO164" s="363">
        <v>0</v>
      </c>
      <c r="AP164" s="363">
        <v>0</v>
      </c>
      <c r="AQ164" s="363">
        <v>0</v>
      </c>
      <c r="AR164" s="363">
        <v>0</v>
      </c>
      <c r="AS164" s="363">
        <v>0</v>
      </c>
      <c r="AT164" s="363">
        <v>0</v>
      </c>
      <c r="AU164" s="363">
        <v>0</v>
      </c>
      <c r="AV164" s="363">
        <v>0</v>
      </c>
      <c r="AW164" s="363">
        <v>0</v>
      </c>
      <c r="AX164" s="363">
        <v>0</v>
      </c>
      <c r="AY164" s="363">
        <v>0</v>
      </c>
      <c r="AZ164" s="363">
        <v>0</v>
      </c>
      <c r="BA164" s="363">
        <v>0</v>
      </c>
      <c r="BB164" s="363">
        <v>0</v>
      </c>
      <c r="BC164" s="363">
        <v>0</v>
      </c>
      <c r="BD164" s="363">
        <v>0</v>
      </c>
      <c r="BE164" s="363">
        <v>0</v>
      </c>
      <c r="BF164" s="363">
        <v>0</v>
      </c>
      <c r="BG164" s="363">
        <v>0</v>
      </c>
      <c r="BH164" s="363">
        <v>0</v>
      </c>
      <c r="BI164" s="363">
        <v>0</v>
      </c>
      <c r="BJ164" s="363">
        <v>0</v>
      </c>
      <c r="BK164" s="363">
        <v>0</v>
      </c>
      <c r="BL164" s="363">
        <v>0</v>
      </c>
      <c r="BM164" s="363">
        <v>0</v>
      </c>
      <c r="BN164" s="363">
        <v>0</v>
      </c>
      <c r="BO164" s="363">
        <v>0</v>
      </c>
      <c r="BP164" s="363">
        <v>0</v>
      </c>
      <c r="BQ164" s="363">
        <v>0</v>
      </c>
      <c r="BR164" s="363">
        <v>0</v>
      </c>
      <c r="BS164" s="363">
        <v>0</v>
      </c>
      <c r="BT164" s="363">
        <v>0</v>
      </c>
      <c r="BU164" s="363">
        <v>0</v>
      </c>
      <c r="BV164" s="363">
        <v>0</v>
      </c>
      <c r="BW164" s="363">
        <v>0</v>
      </c>
      <c r="BX164" s="363">
        <v>0</v>
      </c>
      <c r="BY164" s="363">
        <v>0</v>
      </c>
      <c r="BZ164" s="363">
        <v>0</v>
      </c>
      <c r="CA164" s="363">
        <v>0</v>
      </c>
      <c r="CB164" s="363">
        <v>0</v>
      </c>
      <c r="CC164" s="363">
        <v>0</v>
      </c>
      <c r="CD164" s="363">
        <v>0</v>
      </c>
      <c r="CE164" s="363">
        <v>0</v>
      </c>
      <c r="CF164" s="363">
        <v>0</v>
      </c>
      <c r="CG164" s="363">
        <v>0</v>
      </c>
      <c r="CH164" s="363">
        <v>0</v>
      </c>
      <c r="CI164" s="363">
        <v>0</v>
      </c>
      <c r="CJ164" s="363">
        <v>0</v>
      </c>
      <c r="CK164" s="363">
        <v>0</v>
      </c>
      <c r="CL164" s="363">
        <v>0</v>
      </c>
      <c r="CM164" s="363">
        <v>0</v>
      </c>
      <c r="CN164" s="363">
        <v>0</v>
      </c>
      <c r="CO164" s="363">
        <v>0</v>
      </c>
      <c r="CP164" s="363">
        <v>0</v>
      </c>
      <c r="CQ164" s="363">
        <v>0</v>
      </c>
      <c r="CR164" s="363">
        <v>0</v>
      </c>
      <c r="CS164" s="363">
        <v>0</v>
      </c>
      <c r="CT164" s="363">
        <v>0</v>
      </c>
      <c r="CU164" s="363">
        <v>0</v>
      </c>
      <c r="CV164" s="363">
        <v>0</v>
      </c>
      <c r="CW164" s="363">
        <v>0</v>
      </c>
      <c r="CX164" s="363">
        <v>0</v>
      </c>
      <c r="CY164" s="363">
        <v>0</v>
      </c>
      <c r="CZ164" s="363">
        <v>0</v>
      </c>
      <c r="DA164" s="363">
        <v>0</v>
      </c>
      <c r="DB164" s="363">
        <v>0</v>
      </c>
      <c r="DC164" s="363">
        <v>0</v>
      </c>
      <c r="DD164" s="363">
        <v>0</v>
      </c>
      <c r="DE164" s="363">
        <v>0</v>
      </c>
      <c r="DF164" s="363">
        <v>0</v>
      </c>
      <c r="DG164" s="363">
        <v>0</v>
      </c>
      <c r="DH164" s="363">
        <v>0</v>
      </c>
      <c r="DI164" s="363">
        <v>0</v>
      </c>
      <c r="DJ164" s="363">
        <v>0</v>
      </c>
      <c r="DK164" s="363">
        <v>0</v>
      </c>
      <c r="DL164" s="363"/>
      <c r="DM164" s="363"/>
      <c r="DN164" s="363">
        <v>0</v>
      </c>
      <c r="DO164" s="363">
        <v>0</v>
      </c>
      <c r="DP164" s="363">
        <v>0</v>
      </c>
      <c r="DQ164" s="363">
        <v>0</v>
      </c>
      <c r="DR164" s="363">
        <v>0</v>
      </c>
      <c r="DS164" s="363">
        <v>0</v>
      </c>
      <c r="DT164" s="363">
        <v>0</v>
      </c>
      <c r="DU164" s="363">
        <v>0</v>
      </c>
      <c r="DV164" s="363">
        <v>0</v>
      </c>
      <c r="DW164" s="544">
        <f t="shared" si="21"/>
        <v>0</v>
      </c>
      <c r="DX164" s="858"/>
      <c r="DY164" s="705"/>
      <c r="DZ164" s="871"/>
      <c r="EA164" s="873"/>
      <c r="EB164" s="859"/>
      <c r="EC164" s="859"/>
      <c r="ED164" s="859"/>
      <c r="EE164" s="859"/>
      <c r="EF164" s="861"/>
      <c r="EG164" s="1106"/>
      <c r="EI164" s="858"/>
      <c r="EJ164" s="877"/>
      <c r="ER164" s="497"/>
    </row>
    <row r="165" spans="1:148" s="278" customFormat="1" ht="25.5" customHeight="1" outlineLevel="2" thickBot="1" x14ac:dyDescent="0.25">
      <c r="A165" s="1116"/>
      <c r="B165" s="964"/>
      <c r="C165" s="956"/>
      <c r="D165" s="959"/>
      <c r="E165" s="875"/>
      <c r="F165" s="313" t="s">
        <v>211</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0</v>
      </c>
      <c r="AD165" s="387">
        <v>0</v>
      </c>
      <c r="AE165" s="387">
        <v>0</v>
      </c>
      <c r="AF165" s="387">
        <v>0</v>
      </c>
      <c r="AG165" s="387">
        <v>0</v>
      </c>
      <c r="AH165" s="387">
        <v>0</v>
      </c>
      <c r="AI165" s="387">
        <v>0</v>
      </c>
      <c r="AJ165" s="387">
        <v>0</v>
      </c>
      <c r="AK165" s="387">
        <v>0</v>
      </c>
      <c r="AL165" s="387">
        <v>0</v>
      </c>
      <c r="AM165" s="387">
        <v>0</v>
      </c>
      <c r="AN165" s="387">
        <v>0</v>
      </c>
      <c r="AO165" s="387">
        <v>0</v>
      </c>
      <c r="AP165" s="387">
        <v>0</v>
      </c>
      <c r="AQ165" s="387">
        <v>0</v>
      </c>
      <c r="AR165" s="387">
        <v>0</v>
      </c>
      <c r="AS165" s="387">
        <v>0</v>
      </c>
      <c r="AT165" s="387">
        <v>0</v>
      </c>
      <c r="AU165" s="387">
        <v>0</v>
      </c>
      <c r="AV165" s="387">
        <v>0</v>
      </c>
      <c r="AW165" s="387">
        <v>0</v>
      </c>
      <c r="AX165" s="387">
        <v>0</v>
      </c>
      <c r="AY165" s="387">
        <v>0</v>
      </c>
      <c r="AZ165" s="387">
        <v>0</v>
      </c>
      <c r="BA165" s="387">
        <v>0</v>
      </c>
      <c r="BB165" s="387">
        <v>0</v>
      </c>
      <c r="BC165" s="387">
        <v>0</v>
      </c>
      <c r="BD165" s="387">
        <v>0</v>
      </c>
      <c r="BE165" s="387">
        <v>0</v>
      </c>
      <c r="BF165" s="387">
        <v>0</v>
      </c>
      <c r="BG165" s="387">
        <v>0</v>
      </c>
      <c r="BH165" s="387">
        <v>0</v>
      </c>
      <c r="BI165" s="387">
        <v>0</v>
      </c>
      <c r="BJ165" s="387">
        <v>0</v>
      </c>
      <c r="BK165" s="387">
        <v>0</v>
      </c>
      <c r="BL165" s="387">
        <v>0</v>
      </c>
      <c r="BM165" s="387">
        <v>0</v>
      </c>
      <c r="BN165" s="387">
        <v>0</v>
      </c>
      <c r="BO165" s="387">
        <v>0</v>
      </c>
      <c r="BP165" s="387">
        <v>0</v>
      </c>
      <c r="BQ165" s="387">
        <v>0</v>
      </c>
      <c r="BR165" s="387">
        <v>0</v>
      </c>
      <c r="BS165" s="387">
        <v>0</v>
      </c>
      <c r="BT165" s="387">
        <v>0</v>
      </c>
      <c r="BU165" s="387">
        <v>0</v>
      </c>
      <c r="BV165" s="387">
        <v>0</v>
      </c>
      <c r="BW165" s="387">
        <v>0</v>
      </c>
      <c r="BX165" s="387">
        <v>0</v>
      </c>
      <c r="BY165" s="387">
        <v>0</v>
      </c>
      <c r="BZ165" s="387">
        <v>0</v>
      </c>
      <c r="CA165" s="387">
        <v>0</v>
      </c>
      <c r="CB165" s="387">
        <v>0</v>
      </c>
      <c r="CC165" s="387">
        <v>0</v>
      </c>
      <c r="CD165" s="387">
        <v>0</v>
      </c>
      <c r="CE165" s="387">
        <v>0</v>
      </c>
      <c r="CF165" s="387">
        <v>0</v>
      </c>
      <c r="CG165" s="387">
        <v>0</v>
      </c>
      <c r="CH165" s="387">
        <v>0</v>
      </c>
      <c r="CI165" s="387">
        <v>0</v>
      </c>
      <c r="CJ165" s="387">
        <v>0</v>
      </c>
      <c r="CK165" s="387">
        <v>0</v>
      </c>
      <c r="CL165" s="387">
        <v>0</v>
      </c>
      <c r="CM165" s="387">
        <v>0</v>
      </c>
      <c r="CN165" s="387">
        <v>0</v>
      </c>
      <c r="CO165" s="387">
        <v>0</v>
      </c>
      <c r="CP165" s="387">
        <v>0</v>
      </c>
      <c r="CQ165" s="387">
        <v>0</v>
      </c>
      <c r="CR165" s="387">
        <v>0</v>
      </c>
      <c r="CS165" s="387">
        <v>0</v>
      </c>
      <c r="CT165" s="387">
        <v>0</v>
      </c>
      <c r="CU165" s="387">
        <v>0</v>
      </c>
      <c r="CV165" s="387">
        <v>0</v>
      </c>
      <c r="CW165" s="387">
        <v>0</v>
      </c>
      <c r="CX165" s="387">
        <v>0</v>
      </c>
      <c r="CY165" s="387">
        <v>0</v>
      </c>
      <c r="CZ165" s="387">
        <v>0</v>
      </c>
      <c r="DA165" s="387">
        <v>0</v>
      </c>
      <c r="DB165" s="387">
        <v>0</v>
      </c>
      <c r="DC165" s="387">
        <v>0</v>
      </c>
      <c r="DD165" s="387">
        <v>0</v>
      </c>
      <c r="DE165" s="387">
        <v>0</v>
      </c>
      <c r="DF165" s="387">
        <v>0</v>
      </c>
      <c r="DG165" s="387">
        <v>0</v>
      </c>
      <c r="DH165" s="387">
        <v>0</v>
      </c>
      <c r="DI165" s="387">
        <v>0</v>
      </c>
      <c r="DJ165" s="387">
        <v>0</v>
      </c>
      <c r="DK165" s="387">
        <v>0</v>
      </c>
      <c r="DL165" s="387">
        <v>0</v>
      </c>
      <c r="DM165" s="387">
        <v>0</v>
      </c>
      <c r="DN165" s="387">
        <v>0</v>
      </c>
      <c r="DO165" s="387"/>
      <c r="DP165" s="387"/>
      <c r="DQ165" s="387"/>
      <c r="DR165" s="387"/>
      <c r="DS165" s="387"/>
      <c r="DT165" s="387"/>
      <c r="DU165" s="387"/>
      <c r="DV165" s="387">
        <v>0</v>
      </c>
      <c r="DW165" s="545">
        <f t="shared" si="21"/>
        <v>0</v>
      </c>
      <c r="DX165" s="858"/>
      <c r="DY165" s="706"/>
      <c r="DZ165" s="872"/>
      <c r="EA165" s="873"/>
      <c r="EB165" s="859"/>
      <c r="EC165" s="859"/>
      <c r="ED165" s="859"/>
      <c r="EE165" s="859"/>
      <c r="EF165" s="861"/>
      <c r="EG165" s="1107"/>
      <c r="EI165" s="858"/>
      <c r="EJ165" s="877"/>
      <c r="ER165" s="497"/>
    </row>
    <row r="166" spans="1:148" s="278" customFormat="1" ht="19.5" customHeight="1" outlineLevel="2" x14ac:dyDescent="0.2">
      <c r="A166" s="991" t="s">
        <v>629</v>
      </c>
      <c r="B166" s="943" t="s">
        <v>167</v>
      </c>
      <c r="C166" s="1017">
        <v>12</v>
      </c>
      <c r="D166" s="952">
        <f>+'Detalle Plan de Adquisiciones'!M26</f>
        <v>12000000000</v>
      </c>
      <c r="E166" s="996" t="str">
        <f>+'Detalle Plan de Adquisiciones'!F26</f>
        <v>IMPLEMENTACIÓN DEL SISTEMA INTELIGENTE DE TRANSPORTE - TECNOLOGIA PARA MANEJO Y CONTROL DE FLOTA Y RECAUDO.</v>
      </c>
      <c r="F166" s="316" t="s">
        <v>410</v>
      </c>
      <c r="G166" s="383"/>
      <c r="H166" s="383"/>
      <c r="I166" s="383"/>
      <c r="J166" s="383"/>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3"/>
      <c r="BL166" s="383"/>
      <c r="BM166" s="383"/>
      <c r="BN166" s="383"/>
      <c r="BO166" s="383"/>
      <c r="BP166" s="383"/>
      <c r="BQ166" s="383"/>
      <c r="BR166" s="383"/>
      <c r="BS166" s="383"/>
      <c r="BT166" s="383"/>
      <c r="BU166" s="383"/>
      <c r="BV166" s="383"/>
      <c r="BW166" s="383"/>
      <c r="BX166" s="383"/>
      <c r="BY166" s="383"/>
      <c r="BZ166" s="383"/>
      <c r="CA166" s="383"/>
      <c r="CB166" s="383"/>
      <c r="CC166" s="383"/>
      <c r="CD166" s="383"/>
      <c r="CE166" s="383"/>
      <c r="CF166" s="383"/>
      <c r="CG166" s="383"/>
      <c r="CH166" s="383"/>
      <c r="CI166" s="383"/>
      <c r="CJ166" s="383"/>
      <c r="CK166" s="383"/>
      <c r="CL166" s="383"/>
      <c r="CM166" s="383"/>
      <c r="CN166" s="383"/>
      <c r="CO166" s="383"/>
      <c r="CP166" s="383"/>
      <c r="CQ166" s="383"/>
      <c r="CR166" s="383"/>
      <c r="CS166" s="383"/>
      <c r="CT166" s="383"/>
      <c r="CU166" s="383"/>
      <c r="CV166" s="383"/>
      <c r="CW166" s="383"/>
      <c r="CX166" s="383"/>
      <c r="CY166" s="383"/>
      <c r="CZ166" s="383"/>
      <c r="DA166" s="383"/>
      <c r="DB166" s="383"/>
      <c r="DC166" s="383"/>
      <c r="DD166" s="383"/>
      <c r="DE166" s="383"/>
      <c r="DF166" s="383"/>
      <c r="DG166" s="383"/>
      <c r="DH166" s="383"/>
      <c r="DI166" s="383"/>
      <c r="DJ166" s="383"/>
      <c r="DK166" s="383"/>
      <c r="DL166" s="383"/>
      <c r="DM166" s="383">
        <f>(D166*0.2)/1000000</f>
        <v>2400</v>
      </c>
      <c r="DN166" s="383">
        <v>1093.9618572857144</v>
      </c>
      <c r="DO166" s="383">
        <f>1093.96185728571*2</f>
        <v>2187.9237145714201</v>
      </c>
      <c r="DP166" s="383">
        <v>1093.9618572857144</v>
      </c>
      <c r="DQ166" s="383">
        <v>1093.9618572857144</v>
      </c>
      <c r="DR166" s="383">
        <v>1093.9618572857144</v>
      </c>
      <c r="DS166" s="383">
        <v>1093.9618572857144</v>
      </c>
      <c r="DT166" s="383">
        <v>894.82699899999795</v>
      </c>
      <c r="DU166" s="383">
        <f>1047.44/2</f>
        <v>523.72</v>
      </c>
      <c r="DV166" s="383">
        <f>1047.44/2</f>
        <v>523.72</v>
      </c>
      <c r="DW166" s="556">
        <f>SUM(G166:DV166)</f>
        <v>11999.999999999987</v>
      </c>
      <c r="DX166" s="869">
        <f>DW166+DW167+DW168</f>
        <v>11999.999999999987</v>
      </c>
      <c r="DY166" s="704">
        <f>+DX166*1000000</f>
        <v>11999999999.999987</v>
      </c>
      <c r="DZ166" s="870">
        <f>+DY166-D166</f>
        <v>0</v>
      </c>
      <c r="EA166" s="617"/>
      <c r="EB166" s="614"/>
      <c r="EC166" s="614"/>
      <c r="ED166" s="614"/>
      <c r="EE166" s="614"/>
      <c r="EF166" s="615"/>
      <c r="EG166" s="618"/>
      <c r="EI166" s="616"/>
      <c r="EJ166" s="619"/>
      <c r="ER166" s="625"/>
    </row>
    <row r="167" spans="1:148" s="278" customFormat="1" ht="19.5" customHeight="1" outlineLevel="2" x14ac:dyDescent="0.2">
      <c r="A167" s="938"/>
      <c r="B167" s="944"/>
      <c r="C167" s="1017"/>
      <c r="D167" s="952"/>
      <c r="E167" s="996"/>
      <c r="F167" s="311" t="s">
        <v>210</v>
      </c>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363"/>
      <c r="AN167" s="363"/>
      <c r="AO167" s="363"/>
      <c r="AP167" s="363"/>
      <c r="AQ167" s="363"/>
      <c r="AR167" s="363"/>
      <c r="AS167" s="363"/>
      <c r="AT167" s="363"/>
      <c r="AU167" s="363"/>
      <c r="AV167" s="363"/>
      <c r="AW167" s="363"/>
      <c r="AX167" s="363"/>
      <c r="AY167" s="363"/>
      <c r="AZ167" s="363"/>
      <c r="BA167" s="363"/>
      <c r="BB167" s="363"/>
      <c r="BC167" s="363"/>
      <c r="BD167" s="363"/>
      <c r="BE167" s="363"/>
      <c r="BF167" s="363"/>
      <c r="BG167" s="363"/>
      <c r="BH167" s="363"/>
      <c r="BI167" s="363"/>
      <c r="BJ167" s="363"/>
      <c r="BK167" s="363"/>
      <c r="BL167" s="363"/>
      <c r="BM167" s="363"/>
      <c r="BN167" s="363"/>
      <c r="BO167" s="363"/>
      <c r="BP167" s="363"/>
      <c r="BQ167" s="363"/>
      <c r="BR167" s="363"/>
      <c r="BS167" s="363"/>
      <c r="BT167" s="363"/>
      <c r="BU167" s="363"/>
      <c r="BV167" s="363"/>
      <c r="BW167" s="363"/>
      <c r="BX167" s="363"/>
      <c r="BY167" s="363"/>
      <c r="BZ167" s="363"/>
      <c r="CA167" s="363"/>
      <c r="CB167" s="363"/>
      <c r="CC167" s="363"/>
      <c r="CD167" s="363"/>
      <c r="CE167" s="363"/>
      <c r="CF167" s="363"/>
      <c r="CG167" s="363"/>
      <c r="CH167" s="363"/>
      <c r="CI167" s="363"/>
      <c r="CJ167" s="363"/>
      <c r="CK167" s="363"/>
      <c r="CL167" s="363"/>
      <c r="CM167" s="363"/>
      <c r="CN167" s="363"/>
      <c r="CO167" s="363"/>
      <c r="CP167" s="363"/>
      <c r="CQ167" s="363"/>
      <c r="CR167" s="363"/>
      <c r="CS167" s="363"/>
      <c r="CT167" s="363"/>
      <c r="CU167" s="363"/>
      <c r="CV167" s="363"/>
      <c r="CW167" s="363"/>
      <c r="CX167" s="363"/>
      <c r="CY167" s="363"/>
      <c r="CZ167" s="363"/>
      <c r="DA167" s="363"/>
      <c r="DB167" s="363"/>
      <c r="DC167" s="363"/>
      <c r="DD167" s="363"/>
      <c r="DE167" s="363"/>
      <c r="DF167" s="363"/>
      <c r="DG167" s="363"/>
      <c r="DH167" s="363"/>
      <c r="DI167" s="363"/>
      <c r="DJ167" s="363"/>
      <c r="DK167" s="363"/>
      <c r="DL167" s="363"/>
      <c r="DM167" s="363"/>
      <c r="DN167" s="363"/>
      <c r="DO167" s="363"/>
      <c r="DP167" s="363"/>
      <c r="DQ167" s="363"/>
      <c r="DR167" s="363"/>
      <c r="DS167" s="363"/>
      <c r="DT167" s="363"/>
      <c r="DU167" s="363"/>
      <c r="DV167" s="363"/>
      <c r="DW167" s="544"/>
      <c r="DX167" s="890"/>
      <c r="DY167" s="705"/>
      <c r="DZ167" s="871"/>
      <c r="EA167" s="617"/>
      <c r="EB167" s="614"/>
      <c r="EC167" s="614"/>
      <c r="ED167" s="614"/>
      <c r="EE167" s="614"/>
      <c r="EF167" s="615"/>
      <c r="EG167" s="618"/>
      <c r="EI167" s="616"/>
      <c r="EJ167" s="619"/>
      <c r="ER167" s="625"/>
    </row>
    <row r="168" spans="1:148" s="278" customFormat="1" ht="43.5" customHeight="1" outlineLevel="2" thickBot="1" x14ac:dyDescent="0.25">
      <c r="A168" s="939"/>
      <c r="B168" s="964"/>
      <c r="C168" s="1018"/>
      <c r="D168" s="953"/>
      <c r="E168" s="997"/>
      <c r="F168" s="313" t="s">
        <v>211</v>
      </c>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87"/>
      <c r="AN168" s="387"/>
      <c r="AO168" s="387"/>
      <c r="AP168" s="387"/>
      <c r="AQ168" s="387"/>
      <c r="AR168" s="387"/>
      <c r="AS168" s="387"/>
      <c r="AT168" s="387"/>
      <c r="AU168" s="387"/>
      <c r="AV168" s="387"/>
      <c r="AW168" s="387"/>
      <c r="AX168" s="387"/>
      <c r="AY168" s="387"/>
      <c r="AZ168" s="387"/>
      <c r="BA168" s="387"/>
      <c r="BB168" s="387"/>
      <c r="BC168" s="387"/>
      <c r="BD168" s="387"/>
      <c r="BE168" s="387"/>
      <c r="BF168" s="387"/>
      <c r="BG168" s="387"/>
      <c r="BH168" s="387"/>
      <c r="BI168" s="387"/>
      <c r="BJ168" s="387"/>
      <c r="BK168" s="387"/>
      <c r="BL168" s="387"/>
      <c r="BM168" s="387"/>
      <c r="BN168" s="387"/>
      <c r="BO168" s="387"/>
      <c r="BP168" s="387"/>
      <c r="BQ168" s="387"/>
      <c r="BR168" s="387"/>
      <c r="BS168" s="387"/>
      <c r="BT168" s="387"/>
      <c r="BU168" s="387"/>
      <c r="BV168" s="387"/>
      <c r="BW168" s="387"/>
      <c r="BX168" s="387"/>
      <c r="BY168" s="387"/>
      <c r="BZ168" s="387"/>
      <c r="CA168" s="387"/>
      <c r="CB168" s="387"/>
      <c r="CC168" s="387"/>
      <c r="CD168" s="387"/>
      <c r="CE168" s="387"/>
      <c r="CF168" s="387"/>
      <c r="CG168" s="387"/>
      <c r="CH168" s="387"/>
      <c r="CI168" s="387"/>
      <c r="CJ168" s="387"/>
      <c r="CK168" s="387"/>
      <c r="CL168" s="387"/>
      <c r="CM168" s="387"/>
      <c r="CN168" s="387"/>
      <c r="CO168" s="387"/>
      <c r="CP168" s="387"/>
      <c r="CQ168" s="387"/>
      <c r="CR168" s="387"/>
      <c r="CS168" s="387"/>
      <c r="CT168" s="387"/>
      <c r="CU168" s="387"/>
      <c r="CV168" s="387"/>
      <c r="CW168" s="387"/>
      <c r="CX168" s="387"/>
      <c r="CY168" s="387"/>
      <c r="CZ168" s="387"/>
      <c r="DA168" s="387"/>
      <c r="DB168" s="387"/>
      <c r="DC168" s="387"/>
      <c r="DD168" s="387"/>
      <c r="DE168" s="387"/>
      <c r="DF168" s="387"/>
      <c r="DG168" s="387"/>
      <c r="DH168" s="387"/>
      <c r="DI168" s="387"/>
      <c r="DJ168" s="750"/>
      <c r="DK168" s="387"/>
      <c r="DL168" s="387"/>
      <c r="DM168" s="387"/>
      <c r="DN168" s="387"/>
      <c r="DO168" s="387"/>
      <c r="DP168" s="387"/>
      <c r="DQ168" s="387"/>
      <c r="DR168" s="387"/>
      <c r="DS168" s="387"/>
      <c r="DT168" s="387"/>
      <c r="DU168" s="387"/>
      <c r="DV168" s="387"/>
      <c r="DW168" s="556">
        <f>SUM(G168:DV168)</f>
        <v>0</v>
      </c>
      <c r="DX168" s="891"/>
      <c r="DY168" s="704"/>
      <c r="DZ168" s="872"/>
      <c r="EA168" s="617"/>
      <c r="EB168" s="614"/>
      <c r="EC168" s="614"/>
      <c r="ED168" s="614"/>
      <c r="EE168" s="614"/>
      <c r="EF168" s="615"/>
      <c r="EG168" s="618"/>
      <c r="EI168" s="616"/>
      <c r="EJ168" s="619"/>
      <c r="ER168" s="625"/>
    </row>
    <row r="169" spans="1:148" s="278" customFormat="1" ht="30" customHeight="1" outlineLevel="2" x14ac:dyDescent="0.2">
      <c r="A169" s="937" t="s">
        <v>608</v>
      </c>
      <c r="B169" s="963" t="s">
        <v>167</v>
      </c>
      <c r="C169" s="954">
        <v>12</v>
      </c>
      <c r="D169" s="957">
        <f>+'Detalle Plan de Adquisiciones'!L108</f>
        <v>1080000000</v>
      </c>
      <c r="E169" s="866" t="str">
        <f>+'Detalle Plan de Adquisiciones'!F108</f>
        <v>INTERVENTORÍA TÉCNICA, ADMINISTRATIVA, FINANCIERA Y AMBIENTAL AL CONTRATO CUYO OBJETO ES: IMPLEMENTACIÓN DEL SISTEMA INTELIGENTE DE TRANSPORTE - TECNOLOGIA PARA MANEJO Y CONTROL DE FLOTA Y RECAUDO.</v>
      </c>
      <c r="F169" s="312" t="s">
        <v>410</v>
      </c>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54"/>
      <c r="AN169" s="354"/>
      <c r="AO169" s="354"/>
      <c r="AP169" s="354"/>
      <c r="AQ169" s="354"/>
      <c r="AR169" s="354"/>
      <c r="AS169" s="354"/>
      <c r="AT169" s="354"/>
      <c r="AU169" s="354"/>
      <c r="AV169" s="354"/>
      <c r="AW169" s="354"/>
      <c r="AX169" s="354"/>
      <c r="AY169" s="354"/>
      <c r="AZ169" s="354"/>
      <c r="BA169" s="354"/>
      <c r="BB169" s="354"/>
      <c r="BC169" s="354"/>
      <c r="BD169" s="354"/>
      <c r="BE169" s="354"/>
      <c r="BF169" s="354"/>
      <c r="BG169" s="354"/>
      <c r="BH169" s="354"/>
      <c r="BI169" s="354"/>
      <c r="BJ169" s="354"/>
      <c r="BK169" s="354"/>
      <c r="BL169" s="354"/>
      <c r="BM169" s="354"/>
      <c r="BN169" s="354"/>
      <c r="BO169" s="354"/>
      <c r="BP169" s="354"/>
      <c r="BQ169" s="354"/>
      <c r="BR169" s="354"/>
      <c r="BS169" s="354"/>
      <c r="BT169" s="354"/>
      <c r="BU169" s="354"/>
      <c r="BV169" s="354"/>
      <c r="BW169" s="354"/>
      <c r="BX169" s="354"/>
      <c r="BY169" s="354"/>
      <c r="BZ169" s="354"/>
      <c r="CA169" s="354"/>
      <c r="CB169" s="354"/>
      <c r="CC169" s="354"/>
      <c r="CD169" s="354"/>
      <c r="CE169" s="354"/>
      <c r="CF169" s="354"/>
      <c r="CG169" s="354"/>
      <c r="CH169" s="354"/>
      <c r="CI169" s="354"/>
      <c r="CJ169" s="354"/>
      <c r="CK169" s="354"/>
      <c r="CL169" s="354"/>
      <c r="CM169" s="354"/>
      <c r="CN169" s="598"/>
      <c r="CO169" s="598"/>
      <c r="CP169" s="598"/>
      <c r="CQ169" s="354"/>
      <c r="CR169" s="354"/>
      <c r="CS169" s="354"/>
      <c r="CT169" s="354"/>
      <c r="CU169" s="354"/>
      <c r="CV169" s="354"/>
      <c r="CW169" s="354"/>
      <c r="CX169" s="354"/>
      <c r="CY169" s="354">
        <v>0</v>
      </c>
      <c r="CZ169" s="354">
        <v>0</v>
      </c>
      <c r="DA169" s="354">
        <v>0</v>
      </c>
      <c r="DB169" s="354">
        <v>0</v>
      </c>
      <c r="DC169" s="354">
        <v>0</v>
      </c>
      <c r="DD169" s="354">
        <v>0</v>
      </c>
      <c r="DE169" s="354">
        <v>0</v>
      </c>
      <c r="DF169" s="354">
        <v>0</v>
      </c>
      <c r="DG169" s="354">
        <v>0</v>
      </c>
      <c r="DH169" s="354">
        <v>0</v>
      </c>
      <c r="DI169" s="354">
        <v>0</v>
      </c>
      <c r="DJ169" s="354">
        <v>0</v>
      </c>
      <c r="DK169" s="354">
        <v>0</v>
      </c>
      <c r="DL169" s="354">
        <v>0</v>
      </c>
      <c r="DM169" s="354">
        <f t="shared" ref="DM169:DS169" si="22">(($D$169*0.8)/11)/1000000</f>
        <v>78.545454545454547</v>
      </c>
      <c r="DN169" s="354">
        <f t="shared" si="22"/>
        <v>78.545454545454547</v>
      </c>
      <c r="DO169" s="354">
        <f t="shared" si="22"/>
        <v>78.545454545454547</v>
      </c>
      <c r="DP169" s="354">
        <f t="shared" si="22"/>
        <v>78.545454545454547</v>
      </c>
      <c r="DQ169" s="354">
        <f t="shared" si="22"/>
        <v>78.545454545454547</v>
      </c>
      <c r="DR169" s="354">
        <f t="shared" si="22"/>
        <v>78.545454545454547</v>
      </c>
      <c r="DS169" s="354">
        <f t="shared" si="22"/>
        <v>78.545454545454547</v>
      </c>
      <c r="DT169" s="354">
        <f>(($D$169*0.8)/11)/1000000+12-0.363636</f>
        <v>90.181818545454547</v>
      </c>
      <c r="DU169" s="354">
        <v>154.76537269191854</v>
      </c>
      <c r="DV169" s="354">
        <f>(D169*0.2)/1000000</f>
        <v>216</v>
      </c>
      <c r="DW169" s="543">
        <f>SUM(G169:DV169)</f>
        <v>1010.765373055555</v>
      </c>
      <c r="DX169" s="616">
        <f>+DW169+DW170+DW171</f>
        <v>1080</v>
      </c>
      <c r="DY169" s="704">
        <f>+DX169*1000000</f>
        <v>1080000000</v>
      </c>
      <c r="DZ169" s="870">
        <f>+DY169-D169</f>
        <v>0</v>
      </c>
      <c r="EA169" s="617"/>
      <c r="EB169" s="614"/>
      <c r="EC169" s="614"/>
      <c r="ED169" s="614"/>
      <c r="EE169" s="614"/>
      <c r="EF169" s="615"/>
      <c r="EG169" s="618"/>
      <c r="EI169" s="616"/>
      <c r="EJ169" s="619"/>
      <c r="ER169" s="625"/>
    </row>
    <row r="170" spans="1:148" s="278" customFormat="1" ht="30" customHeight="1" outlineLevel="2" x14ac:dyDescent="0.2">
      <c r="A170" s="938"/>
      <c r="B170" s="944"/>
      <c r="C170" s="955"/>
      <c r="D170" s="958"/>
      <c r="E170" s="867"/>
      <c r="F170" s="311" t="s">
        <v>210</v>
      </c>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c r="BG170" s="363"/>
      <c r="BH170" s="363"/>
      <c r="BI170" s="363"/>
      <c r="BJ170" s="363"/>
      <c r="BK170" s="363"/>
      <c r="BL170" s="363"/>
      <c r="BM170" s="363"/>
      <c r="BN170" s="363"/>
      <c r="BO170" s="363"/>
      <c r="BP170" s="363"/>
      <c r="BQ170" s="363"/>
      <c r="BR170" s="363"/>
      <c r="BS170" s="363"/>
      <c r="BT170" s="363"/>
      <c r="BU170" s="363"/>
      <c r="BV170" s="363"/>
      <c r="BW170" s="363"/>
      <c r="BX170" s="363"/>
      <c r="BY170" s="363"/>
      <c r="BZ170" s="363"/>
      <c r="CA170" s="363"/>
      <c r="CB170" s="363"/>
      <c r="CC170" s="363"/>
      <c r="CD170" s="363"/>
      <c r="CE170" s="363"/>
      <c r="CF170" s="363"/>
      <c r="CG170" s="363"/>
      <c r="CH170" s="363"/>
      <c r="CI170" s="363"/>
      <c r="CJ170" s="363"/>
      <c r="CK170" s="363"/>
      <c r="CL170" s="363"/>
      <c r="CM170" s="363"/>
      <c r="CN170" s="522"/>
      <c r="CO170" s="522"/>
      <c r="CP170" s="522"/>
      <c r="CQ170" s="363"/>
      <c r="CR170" s="363"/>
      <c r="CS170" s="363"/>
      <c r="CT170" s="363"/>
      <c r="CU170" s="363"/>
      <c r="CV170" s="363"/>
      <c r="CW170" s="363"/>
      <c r="CX170" s="363"/>
      <c r="CY170" s="363"/>
      <c r="CZ170" s="363"/>
      <c r="DA170" s="363"/>
      <c r="DB170" s="363"/>
      <c r="DC170" s="363"/>
      <c r="DD170" s="363"/>
      <c r="DE170" s="363"/>
      <c r="DF170" s="363"/>
      <c r="DG170" s="363"/>
      <c r="DH170" s="363"/>
      <c r="DI170" s="363"/>
      <c r="DJ170" s="363"/>
      <c r="DK170" s="363"/>
      <c r="DL170" s="363"/>
      <c r="DM170" s="363"/>
      <c r="DN170" s="363"/>
      <c r="DO170" s="363"/>
      <c r="DP170" s="363"/>
      <c r="DQ170" s="363"/>
      <c r="DR170" s="363"/>
      <c r="DS170" s="363"/>
      <c r="DT170" s="363"/>
      <c r="DU170" s="363"/>
      <c r="DV170" s="363"/>
      <c r="DW170" s="544">
        <f t="shared" ref="DW170:DW207" si="23">SUM(G170:DV170)</f>
        <v>0</v>
      </c>
      <c r="DX170" s="616"/>
      <c r="DY170" s="705"/>
      <c r="DZ170" s="871"/>
      <c r="EA170" s="617"/>
      <c r="EB170" s="614"/>
      <c r="EC170" s="614"/>
      <c r="ED170" s="614"/>
      <c r="EE170" s="614"/>
      <c r="EF170" s="615"/>
      <c r="EG170" s="618"/>
      <c r="EI170" s="616"/>
      <c r="EJ170" s="619"/>
      <c r="ER170" s="625"/>
    </row>
    <row r="171" spans="1:148" s="278" customFormat="1" ht="24" customHeight="1" outlineLevel="2" thickBot="1" x14ac:dyDescent="0.25">
      <c r="A171" s="939"/>
      <c r="B171" s="964"/>
      <c r="C171" s="956"/>
      <c r="D171" s="959"/>
      <c r="E171" s="875"/>
      <c r="F171" s="313" t="s">
        <v>211</v>
      </c>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87"/>
      <c r="AN171" s="387"/>
      <c r="AO171" s="387"/>
      <c r="AP171" s="387"/>
      <c r="AQ171" s="387"/>
      <c r="AR171" s="387"/>
      <c r="AS171" s="387"/>
      <c r="AT171" s="387"/>
      <c r="AU171" s="387"/>
      <c r="AV171" s="387"/>
      <c r="AW171" s="387"/>
      <c r="AX171" s="387"/>
      <c r="AY171" s="387"/>
      <c r="AZ171" s="387"/>
      <c r="BA171" s="387"/>
      <c r="BB171" s="387"/>
      <c r="BC171" s="387"/>
      <c r="BD171" s="387"/>
      <c r="BE171" s="387"/>
      <c r="BF171" s="387"/>
      <c r="BG171" s="387"/>
      <c r="BH171" s="387"/>
      <c r="BI171" s="387"/>
      <c r="BJ171" s="387"/>
      <c r="BK171" s="387"/>
      <c r="BL171" s="387"/>
      <c r="BM171" s="387"/>
      <c r="BN171" s="387"/>
      <c r="BO171" s="387"/>
      <c r="BP171" s="387"/>
      <c r="BQ171" s="387"/>
      <c r="BR171" s="387"/>
      <c r="BS171" s="387"/>
      <c r="BT171" s="387"/>
      <c r="BU171" s="387"/>
      <c r="BV171" s="387"/>
      <c r="BW171" s="387"/>
      <c r="BX171" s="387"/>
      <c r="BY171" s="387"/>
      <c r="BZ171" s="387"/>
      <c r="CA171" s="387"/>
      <c r="CB171" s="387"/>
      <c r="CC171" s="387"/>
      <c r="CD171" s="387"/>
      <c r="CE171" s="387"/>
      <c r="CF171" s="387"/>
      <c r="CG171" s="387"/>
      <c r="CH171" s="387"/>
      <c r="CI171" s="387"/>
      <c r="CJ171" s="387"/>
      <c r="CK171" s="387"/>
      <c r="CL171" s="387"/>
      <c r="CM171" s="387"/>
      <c r="CN171" s="652"/>
      <c r="CO171" s="652"/>
      <c r="CP171" s="652"/>
      <c r="CQ171" s="387"/>
      <c r="CR171" s="387"/>
      <c r="CS171" s="387"/>
      <c r="CT171" s="387"/>
      <c r="CU171" s="387"/>
      <c r="CV171" s="387"/>
      <c r="CW171" s="387"/>
      <c r="CX171" s="387"/>
      <c r="CY171" s="387"/>
      <c r="CZ171" s="387"/>
      <c r="DA171" s="387"/>
      <c r="DB171" s="387"/>
      <c r="DC171" s="387"/>
      <c r="DD171" s="387"/>
      <c r="DE171" s="387"/>
      <c r="DF171" s="387"/>
      <c r="DG171" s="387"/>
      <c r="DH171" s="387"/>
      <c r="DI171" s="387"/>
      <c r="DJ171" s="387"/>
      <c r="DK171" s="387"/>
      <c r="DL171" s="387"/>
      <c r="DM171" s="387"/>
      <c r="DN171" s="387"/>
      <c r="DO171" s="387"/>
      <c r="DP171" s="387"/>
      <c r="DQ171" s="387"/>
      <c r="DR171" s="387"/>
      <c r="DT171" s="387">
        <f>75.334626944445-6.1</f>
        <v>69.234626944445012</v>
      </c>
      <c r="DU171" s="387"/>
      <c r="DV171" s="387"/>
      <c r="DW171" s="545">
        <f t="shared" si="23"/>
        <v>69.234626944445012</v>
      </c>
      <c r="DX171" s="616"/>
      <c r="DY171" s="705"/>
      <c r="DZ171" s="872"/>
      <c r="EA171" s="617"/>
      <c r="EB171" s="614"/>
      <c r="EC171" s="614"/>
      <c r="ED171" s="614"/>
      <c r="EE171" s="614"/>
      <c r="EF171" s="615"/>
      <c r="EG171" s="618"/>
      <c r="EI171" s="616"/>
      <c r="EJ171" s="619"/>
      <c r="ER171" s="625"/>
    </row>
    <row r="172" spans="1:148" s="278" customFormat="1" ht="24" outlineLevel="2" x14ac:dyDescent="0.2">
      <c r="A172" s="937" t="s">
        <v>389</v>
      </c>
      <c r="B172" s="963" t="s">
        <v>183</v>
      </c>
      <c r="C172" s="954">
        <v>8</v>
      </c>
      <c r="D172" s="985">
        <f>+IFERROR(VLOOKUP(B172,'Detalle Plan de Adquisiciones'!$G$6:$M$66,7,FALSE),0)</f>
        <v>0</v>
      </c>
      <c r="E172" s="866" t="str">
        <f>+'Detalle Plan de Adquisiciones'!F45</f>
        <v>PUNTO DE CENTRALIZACIÓN BARRIO CANTA CLARO</v>
      </c>
      <c r="F172" s="312" t="s">
        <v>410</v>
      </c>
      <c r="G172" s="354">
        <v>0</v>
      </c>
      <c r="H172" s="354">
        <v>0</v>
      </c>
      <c r="I172" s="354">
        <v>0</v>
      </c>
      <c r="J172" s="354">
        <v>0</v>
      </c>
      <c r="K172" s="354">
        <v>0</v>
      </c>
      <c r="L172" s="354">
        <v>0</v>
      </c>
      <c r="M172" s="354">
        <v>0</v>
      </c>
      <c r="N172" s="354">
        <v>0</v>
      </c>
      <c r="O172" s="354">
        <v>0</v>
      </c>
      <c r="P172" s="354">
        <v>0</v>
      </c>
      <c r="Q172" s="354">
        <v>0</v>
      </c>
      <c r="R172" s="354">
        <v>0</v>
      </c>
      <c r="S172" s="354">
        <v>0</v>
      </c>
      <c r="T172" s="354">
        <v>0</v>
      </c>
      <c r="U172" s="354">
        <v>0</v>
      </c>
      <c r="V172" s="354">
        <v>0</v>
      </c>
      <c r="W172" s="354">
        <v>0</v>
      </c>
      <c r="X172" s="354">
        <v>0</v>
      </c>
      <c r="Y172" s="354">
        <v>0</v>
      </c>
      <c r="Z172" s="354">
        <v>0</v>
      </c>
      <c r="AA172" s="354">
        <v>0</v>
      </c>
      <c r="AB172" s="354">
        <v>0</v>
      </c>
      <c r="AC172" s="354">
        <v>0</v>
      </c>
      <c r="AD172" s="354">
        <v>0</v>
      </c>
      <c r="AE172" s="354">
        <v>0</v>
      </c>
      <c r="AF172" s="354">
        <v>0</v>
      </c>
      <c r="AG172" s="354">
        <v>0</v>
      </c>
      <c r="AH172" s="354">
        <v>0</v>
      </c>
      <c r="AI172" s="354">
        <v>0</v>
      </c>
      <c r="AJ172" s="354">
        <v>0</v>
      </c>
      <c r="AK172" s="354">
        <v>0</v>
      </c>
      <c r="AL172" s="354">
        <v>0</v>
      </c>
      <c r="AM172" s="354">
        <v>0</v>
      </c>
      <c r="AN172" s="354">
        <v>0</v>
      </c>
      <c r="AO172" s="354">
        <v>0</v>
      </c>
      <c r="AP172" s="354">
        <v>0</v>
      </c>
      <c r="AQ172" s="354">
        <v>0</v>
      </c>
      <c r="AR172" s="354">
        <v>0</v>
      </c>
      <c r="AS172" s="354">
        <v>0</v>
      </c>
      <c r="AT172" s="354">
        <v>0</v>
      </c>
      <c r="AU172" s="354">
        <v>0</v>
      </c>
      <c r="AV172" s="354">
        <v>0</v>
      </c>
      <c r="AW172" s="354">
        <v>0</v>
      </c>
      <c r="AX172" s="354">
        <v>0</v>
      </c>
      <c r="AY172" s="354">
        <v>0</v>
      </c>
      <c r="AZ172" s="354">
        <v>0</v>
      </c>
      <c r="BA172" s="354">
        <v>0</v>
      </c>
      <c r="BB172" s="354">
        <v>0</v>
      </c>
      <c r="BC172" s="354">
        <v>0</v>
      </c>
      <c r="BD172" s="354">
        <v>0</v>
      </c>
      <c r="BE172" s="354">
        <v>0</v>
      </c>
      <c r="BF172" s="354">
        <v>0</v>
      </c>
      <c r="BG172" s="354">
        <v>0</v>
      </c>
      <c r="BH172" s="354">
        <v>0</v>
      </c>
      <c r="BI172" s="354">
        <v>0</v>
      </c>
      <c r="BJ172" s="354">
        <v>0</v>
      </c>
      <c r="BK172" s="354">
        <v>0</v>
      </c>
      <c r="BL172" s="354">
        <v>0</v>
      </c>
      <c r="BM172" s="354">
        <v>0</v>
      </c>
      <c r="BN172" s="354">
        <v>0</v>
      </c>
      <c r="BO172" s="354">
        <v>0</v>
      </c>
      <c r="BP172" s="354">
        <v>0</v>
      </c>
      <c r="BQ172" s="354">
        <v>0</v>
      </c>
      <c r="BR172" s="354">
        <v>0</v>
      </c>
      <c r="BS172" s="354">
        <v>0</v>
      </c>
      <c r="BT172" s="354">
        <v>0</v>
      </c>
      <c r="BU172" s="354">
        <v>0</v>
      </c>
      <c r="BV172" s="354">
        <v>0</v>
      </c>
      <c r="BW172" s="354">
        <v>0</v>
      </c>
      <c r="BX172" s="354">
        <v>0</v>
      </c>
      <c r="BY172" s="354">
        <v>0</v>
      </c>
      <c r="BZ172" s="354">
        <v>0</v>
      </c>
      <c r="CA172" s="354">
        <v>0</v>
      </c>
      <c r="CB172" s="354">
        <v>0</v>
      </c>
      <c r="CC172" s="354">
        <v>0</v>
      </c>
      <c r="CD172" s="354">
        <v>0</v>
      </c>
      <c r="CE172" s="354">
        <v>0</v>
      </c>
      <c r="CF172" s="354">
        <v>0</v>
      </c>
      <c r="CG172" s="354">
        <v>0</v>
      </c>
      <c r="CH172" s="354">
        <v>0</v>
      </c>
      <c r="CI172" s="354">
        <v>0</v>
      </c>
      <c r="CJ172" s="354">
        <v>0</v>
      </c>
      <c r="CK172" s="354">
        <v>0</v>
      </c>
      <c r="CL172" s="354">
        <v>0</v>
      </c>
      <c r="CM172" s="354">
        <v>0</v>
      </c>
      <c r="CN172" s="354">
        <v>0</v>
      </c>
      <c r="CO172" s="354">
        <v>0</v>
      </c>
      <c r="CP172" s="354">
        <v>0</v>
      </c>
      <c r="CQ172" s="354">
        <v>0</v>
      </c>
      <c r="CR172" s="354">
        <v>0</v>
      </c>
      <c r="CS172" s="354">
        <v>0</v>
      </c>
      <c r="CT172" s="354">
        <v>0</v>
      </c>
      <c r="CU172" s="354">
        <v>0</v>
      </c>
      <c r="CV172" s="354">
        <v>0</v>
      </c>
      <c r="CW172" s="354">
        <v>0</v>
      </c>
      <c r="CX172" s="354">
        <v>0</v>
      </c>
      <c r="CY172" s="739">
        <v>0</v>
      </c>
      <c r="CZ172" s="739">
        <v>0</v>
      </c>
      <c r="DA172" s="739">
        <v>0</v>
      </c>
      <c r="DB172" s="739">
        <v>0</v>
      </c>
      <c r="DC172" s="739">
        <v>0</v>
      </c>
      <c r="DD172" s="739">
        <v>0</v>
      </c>
      <c r="DE172" s="739"/>
      <c r="DF172" s="739"/>
      <c r="DG172" s="739"/>
      <c r="DH172" s="739"/>
      <c r="DI172" s="279"/>
      <c r="DJ172" s="279"/>
      <c r="DK172" s="354"/>
      <c r="DL172" s="354"/>
      <c r="DM172" s="354"/>
      <c r="DN172" s="354"/>
      <c r="DO172" s="354"/>
      <c r="DP172" s="354"/>
      <c r="DQ172" s="354"/>
      <c r="DR172" s="354">
        <v>0</v>
      </c>
      <c r="DS172" s="354"/>
      <c r="DT172" s="354">
        <v>0</v>
      </c>
      <c r="DU172" s="354">
        <v>0</v>
      </c>
      <c r="DV172" s="354">
        <v>0</v>
      </c>
      <c r="DW172" s="543">
        <f t="shared" si="23"/>
        <v>0</v>
      </c>
      <c r="DX172" s="858">
        <f>DW172+DW173+DW174</f>
        <v>0</v>
      </c>
      <c r="DY172" s="704">
        <f>+DX172*1000000</f>
        <v>0</v>
      </c>
      <c r="DZ172" s="870">
        <f>+DY172-D172</f>
        <v>0</v>
      </c>
      <c r="EA172" s="873" t="str">
        <f>VLOOKUP(POA!$B172,'Detalle Plan de Adquisiciones'!$G$6:$AF$66,23,0)</f>
        <v>N/A</v>
      </c>
      <c r="EB172" s="859" t="str">
        <f>VLOOKUP(POA!$B172,'Detalle Plan de Adquisiciones'!$G$6:$AF$66,25,0)</f>
        <v>N/A</v>
      </c>
      <c r="EC172" s="859" t="e">
        <f>EB172+30</f>
        <v>#VALUE!</v>
      </c>
      <c r="ED172" s="859" t="e">
        <f>CONCATENATE(MONTH(EA172),"-",YEAR(EA172))</f>
        <v>#VALUE!</v>
      </c>
      <c r="EE172" s="859" t="e">
        <f>CONCATENATE(MONTH(EB172),"-",YEAR(EB172))</f>
        <v>#VALUE!</v>
      </c>
      <c r="EF172" s="861" t="e">
        <f>CONCATENATE(MONTH(EC172),"-",YEAR(EC172))</f>
        <v>#VALUE!</v>
      </c>
      <c r="EG172" s="1105" t="e">
        <f>+YEAR(EA172)</f>
        <v>#VALUE!</v>
      </c>
      <c r="EI172" s="858">
        <f>+DW172+DW173+DW174</f>
        <v>0</v>
      </c>
      <c r="EJ172" s="877">
        <f>+D172/1000000-EI172</f>
        <v>0</v>
      </c>
      <c r="ER172" s="497"/>
    </row>
    <row r="173" spans="1:148" s="278" customFormat="1" outlineLevel="2" x14ac:dyDescent="0.2">
      <c r="A173" s="938"/>
      <c r="B173" s="944"/>
      <c r="C173" s="955"/>
      <c r="D173" s="947"/>
      <c r="E173" s="867"/>
      <c r="F173" s="311" t="s">
        <v>210</v>
      </c>
      <c r="G173" s="363">
        <v>0</v>
      </c>
      <c r="H173" s="363">
        <v>0</v>
      </c>
      <c r="I173" s="363">
        <v>0</v>
      </c>
      <c r="J173" s="363">
        <v>0</v>
      </c>
      <c r="K173" s="363">
        <v>0</v>
      </c>
      <c r="L173" s="363">
        <v>0</v>
      </c>
      <c r="M173" s="363">
        <v>0</v>
      </c>
      <c r="N173" s="363">
        <v>0</v>
      </c>
      <c r="O173" s="363">
        <v>0</v>
      </c>
      <c r="P173" s="363">
        <v>0</v>
      </c>
      <c r="Q173" s="363">
        <v>0</v>
      </c>
      <c r="R173" s="363">
        <v>0</v>
      </c>
      <c r="S173" s="363">
        <v>0</v>
      </c>
      <c r="T173" s="363">
        <v>0</v>
      </c>
      <c r="U173" s="363">
        <v>0</v>
      </c>
      <c r="V173" s="363">
        <v>0</v>
      </c>
      <c r="W173" s="363">
        <v>0</v>
      </c>
      <c r="X173" s="363">
        <v>0</v>
      </c>
      <c r="Y173" s="363">
        <v>0</v>
      </c>
      <c r="Z173" s="363">
        <v>0</v>
      </c>
      <c r="AA173" s="363">
        <v>0</v>
      </c>
      <c r="AB173" s="363">
        <v>0</v>
      </c>
      <c r="AC173" s="363">
        <v>0</v>
      </c>
      <c r="AD173" s="363">
        <v>0</v>
      </c>
      <c r="AE173" s="363">
        <v>0</v>
      </c>
      <c r="AF173" s="363">
        <v>0</v>
      </c>
      <c r="AG173" s="363">
        <v>0</v>
      </c>
      <c r="AH173" s="363">
        <v>0</v>
      </c>
      <c r="AI173" s="363">
        <v>0</v>
      </c>
      <c r="AJ173" s="363">
        <v>0</v>
      </c>
      <c r="AK173" s="363">
        <v>0</v>
      </c>
      <c r="AL173" s="363">
        <v>0</v>
      </c>
      <c r="AM173" s="363">
        <v>0</v>
      </c>
      <c r="AN173" s="363">
        <v>0</v>
      </c>
      <c r="AO173" s="363">
        <v>0</v>
      </c>
      <c r="AP173" s="363">
        <v>0</v>
      </c>
      <c r="AQ173" s="363">
        <v>0</v>
      </c>
      <c r="AR173" s="363">
        <v>0</v>
      </c>
      <c r="AS173" s="363">
        <v>0</v>
      </c>
      <c r="AT173" s="363">
        <v>0</v>
      </c>
      <c r="AU173" s="363">
        <v>0</v>
      </c>
      <c r="AV173" s="363">
        <v>0</v>
      </c>
      <c r="AW173" s="363">
        <v>0</v>
      </c>
      <c r="AX173" s="363">
        <v>0</v>
      </c>
      <c r="AY173" s="363">
        <v>0</v>
      </c>
      <c r="AZ173" s="363">
        <v>0</v>
      </c>
      <c r="BA173" s="363">
        <v>0</v>
      </c>
      <c r="BB173" s="363">
        <v>0</v>
      </c>
      <c r="BC173" s="363">
        <v>0</v>
      </c>
      <c r="BD173" s="363">
        <v>0</v>
      </c>
      <c r="BE173" s="363">
        <v>0</v>
      </c>
      <c r="BF173" s="363">
        <v>0</v>
      </c>
      <c r="BG173" s="363">
        <v>0</v>
      </c>
      <c r="BH173" s="363">
        <v>0</v>
      </c>
      <c r="BI173" s="363">
        <v>0</v>
      </c>
      <c r="BJ173" s="363">
        <v>0</v>
      </c>
      <c r="BK173" s="363">
        <v>0</v>
      </c>
      <c r="BL173" s="363">
        <v>0</v>
      </c>
      <c r="BM173" s="363">
        <v>0</v>
      </c>
      <c r="BN173" s="363">
        <v>0</v>
      </c>
      <c r="BO173" s="363">
        <v>0</v>
      </c>
      <c r="BP173" s="363">
        <v>0</v>
      </c>
      <c r="BQ173" s="363">
        <v>0</v>
      </c>
      <c r="BR173" s="363">
        <v>0</v>
      </c>
      <c r="BS173" s="363">
        <v>0</v>
      </c>
      <c r="BT173" s="363">
        <v>0</v>
      </c>
      <c r="BU173" s="363">
        <v>0</v>
      </c>
      <c r="BV173" s="363">
        <v>0</v>
      </c>
      <c r="BW173" s="363">
        <v>0</v>
      </c>
      <c r="BX173" s="363">
        <v>0</v>
      </c>
      <c r="BY173" s="363">
        <v>0</v>
      </c>
      <c r="BZ173" s="363">
        <v>0</v>
      </c>
      <c r="CA173" s="363">
        <v>0</v>
      </c>
      <c r="CB173" s="363">
        <v>0</v>
      </c>
      <c r="CC173" s="363">
        <v>0</v>
      </c>
      <c r="CD173" s="363">
        <v>0</v>
      </c>
      <c r="CE173" s="363">
        <v>0</v>
      </c>
      <c r="CF173" s="363">
        <v>0</v>
      </c>
      <c r="CG173" s="363">
        <v>0</v>
      </c>
      <c r="CH173" s="363">
        <v>0</v>
      </c>
      <c r="CI173" s="363">
        <v>0</v>
      </c>
      <c r="CJ173" s="363">
        <v>0</v>
      </c>
      <c r="CK173" s="363">
        <v>0</v>
      </c>
      <c r="CL173" s="363">
        <v>0</v>
      </c>
      <c r="CM173" s="363">
        <v>0</v>
      </c>
      <c r="CN173" s="363">
        <v>0</v>
      </c>
      <c r="CO173" s="363">
        <v>0</v>
      </c>
      <c r="CP173" s="363">
        <v>0</v>
      </c>
      <c r="CQ173" s="363">
        <v>0</v>
      </c>
      <c r="CR173" s="363">
        <v>0</v>
      </c>
      <c r="CS173" s="363">
        <v>0</v>
      </c>
      <c r="CT173" s="363">
        <v>0</v>
      </c>
      <c r="CU173" s="363">
        <v>0</v>
      </c>
      <c r="CV173" s="363">
        <v>0</v>
      </c>
      <c r="CW173" s="363">
        <v>0</v>
      </c>
      <c r="CX173" s="363">
        <v>0</v>
      </c>
      <c r="CY173" s="363">
        <v>0</v>
      </c>
      <c r="CZ173" s="363">
        <v>0</v>
      </c>
      <c r="DA173" s="363">
        <v>0</v>
      </c>
      <c r="DB173" s="363">
        <v>0</v>
      </c>
      <c r="DC173" s="363"/>
      <c r="DD173" s="363"/>
      <c r="DE173" s="363"/>
      <c r="DF173" s="363"/>
      <c r="DG173" s="363"/>
      <c r="DH173" s="363"/>
      <c r="DI173" s="363"/>
      <c r="DJ173" s="363"/>
      <c r="DK173" s="363"/>
      <c r="DL173" s="363"/>
      <c r="DM173" s="363"/>
      <c r="DN173" s="363"/>
      <c r="DO173" s="363"/>
      <c r="DP173" s="363"/>
      <c r="DQ173" s="363"/>
      <c r="DR173" s="363">
        <v>0</v>
      </c>
      <c r="DS173" s="363"/>
      <c r="DT173" s="363">
        <v>0</v>
      </c>
      <c r="DU173" s="363">
        <v>0</v>
      </c>
      <c r="DV173" s="363">
        <v>0</v>
      </c>
      <c r="DW173" s="544">
        <f t="shared" si="23"/>
        <v>0</v>
      </c>
      <c r="DX173" s="858"/>
      <c r="DY173" s="705"/>
      <c r="DZ173" s="871"/>
      <c r="EA173" s="873"/>
      <c r="EB173" s="859"/>
      <c r="EC173" s="859"/>
      <c r="ED173" s="859"/>
      <c r="EE173" s="859"/>
      <c r="EF173" s="861"/>
      <c r="EG173" s="1106"/>
      <c r="EI173" s="858"/>
      <c r="EJ173" s="877"/>
      <c r="ER173" s="497"/>
    </row>
    <row r="174" spans="1:148" s="278" customFormat="1" ht="19.5" customHeight="1" outlineLevel="2" thickBot="1" x14ac:dyDescent="0.25">
      <c r="A174" s="939"/>
      <c r="B174" s="964"/>
      <c r="C174" s="956"/>
      <c r="D174" s="986"/>
      <c r="E174" s="875"/>
      <c r="F174" s="313" t="s">
        <v>211</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v>
      </c>
      <c r="AA174" s="387">
        <v>0</v>
      </c>
      <c r="AB174" s="387">
        <v>0</v>
      </c>
      <c r="AC174" s="387">
        <v>0</v>
      </c>
      <c r="AD174" s="387">
        <v>0</v>
      </c>
      <c r="AE174" s="387">
        <v>0</v>
      </c>
      <c r="AF174" s="387">
        <v>0</v>
      </c>
      <c r="AG174" s="387">
        <v>0</v>
      </c>
      <c r="AH174" s="387">
        <v>0</v>
      </c>
      <c r="AI174" s="387">
        <v>0</v>
      </c>
      <c r="AJ174" s="387">
        <v>0</v>
      </c>
      <c r="AK174" s="387">
        <v>0</v>
      </c>
      <c r="AL174" s="387">
        <v>0</v>
      </c>
      <c r="AM174" s="387">
        <v>0</v>
      </c>
      <c r="AN174" s="387">
        <v>0</v>
      </c>
      <c r="AO174" s="387">
        <v>0</v>
      </c>
      <c r="AP174" s="387">
        <v>0</v>
      </c>
      <c r="AQ174" s="387">
        <v>0</v>
      </c>
      <c r="AR174" s="387">
        <v>0</v>
      </c>
      <c r="AS174" s="387">
        <v>0</v>
      </c>
      <c r="AT174" s="387">
        <v>0</v>
      </c>
      <c r="AU174" s="387">
        <v>0</v>
      </c>
      <c r="AV174" s="387">
        <v>0</v>
      </c>
      <c r="AW174" s="387">
        <v>0</v>
      </c>
      <c r="AX174" s="387">
        <v>0</v>
      </c>
      <c r="AY174" s="387">
        <v>0</v>
      </c>
      <c r="AZ174" s="387">
        <v>0</v>
      </c>
      <c r="BA174" s="387">
        <v>0</v>
      </c>
      <c r="BB174" s="387">
        <v>0</v>
      </c>
      <c r="BC174" s="387">
        <v>0</v>
      </c>
      <c r="BD174" s="387">
        <v>0</v>
      </c>
      <c r="BE174" s="387">
        <v>0</v>
      </c>
      <c r="BF174" s="387">
        <v>0</v>
      </c>
      <c r="BG174" s="387">
        <v>0</v>
      </c>
      <c r="BH174" s="387">
        <v>0</v>
      </c>
      <c r="BI174" s="387">
        <v>0</v>
      </c>
      <c r="BJ174" s="387">
        <v>0</v>
      </c>
      <c r="BK174" s="387">
        <v>0</v>
      </c>
      <c r="BL174" s="387">
        <v>0</v>
      </c>
      <c r="BM174" s="387">
        <v>0</v>
      </c>
      <c r="BN174" s="387">
        <v>0</v>
      </c>
      <c r="BO174" s="387">
        <v>0</v>
      </c>
      <c r="BP174" s="387">
        <v>0</v>
      </c>
      <c r="BQ174" s="387">
        <v>0</v>
      </c>
      <c r="BR174" s="387">
        <v>0</v>
      </c>
      <c r="BS174" s="387">
        <v>0</v>
      </c>
      <c r="BT174" s="387">
        <v>0</v>
      </c>
      <c r="BU174" s="387">
        <v>0</v>
      </c>
      <c r="BV174" s="387">
        <v>0</v>
      </c>
      <c r="BW174" s="387">
        <v>0</v>
      </c>
      <c r="BX174" s="387">
        <v>0</v>
      </c>
      <c r="BY174" s="387">
        <v>0</v>
      </c>
      <c r="BZ174" s="387">
        <v>0</v>
      </c>
      <c r="CA174" s="387">
        <v>0</v>
      </c>
      <c r="CB174" s="387">
        <v>0</v>
      </c>
      <c r="CC174" s="387">
        <v>0</v>
      </c>
      <c r="CD174" s="387">
        <v>0</v>
      </c>
      <c r="CE174" s="387">
        <v>0</v>
      </c>
      <c r="CF174" s="387">
        <v>0</v>
      </c>
      <c r="CG174" s="387">
        <v>0</v>
      </c>
      <c r="CH174" s="387">
        <v>0</v>
      </c>
      <c r="CI174" s="387">
        <v>0</v>
      </c>
      <c r="CJ174" s="387">
        <v>0</v>
      </c>
      <c r="CK174" s="387">
        <v>0</v>
      </c>
      <c r="CL174" s="387">
        <v>0</v>
      </c>
      <c r="CM174" s="387">
        <v>0</v>
      </c>
      <c r="CN174" s="387">
        <v>0</v>
      </c>
      <c r="CO174" s="387">
        <v>0</v>
      </c>
      <c r="CP174" s="387">
        <v>0</v>
      </c>
      <c r="CQ174" s="387">
        <v>0</v>
      </c>
      <c r="CR174" s="387">
        <v>0</v>
      </c>
      <c r="CS174" s="387">
        <v>0</v>
      </c>
      <c r="CT174" s="387">
        <v>0</v>
      </c>
      <c r="CU174" s="387">
        <v>0</v>
      </c>
      <c r="CV174" s="387">
        <v>0</v>
      </c>
      <c r="CW174" s="387">
        <v>0</v>
      </c>
      <c r="CX174" s="387">
        <v>0</v>
      </c>
      <c r="CY174" s="387"/>
      <c r="CZ174" s="387"/>
      <c r="DA174" s="670"/>
      <c r="DB174" s="670"/>
      <c r="DC174" s="670"/>
      <c r="DD174" s="670"/>
      <c r="DE174" s="670"/>
      <c r="DF174" s="670"/>
      <c r="DG174" s="670"/>
      <c r="DH174" s="670"/>
      <c r="DI174" s="670"/>
      <c r="DJ174" s="670"/>
      <c r="DK174" s="670"/>
      <c r="DL174" s="670"/>
      <c r="DM174" s="387"/>
      <c r="DN174" s="387"/>
      <c r="DO174" s="387"/>
      <c r="DP174" s="387"/>
      <c r="DQ174" s="387"/>
      <c r="DR174" s="387">
        <v>0</v>
      </c>
      <c r="DS174" s="387">
        <v>0</v>
      </c>
      <c r="DT174" s="387">
        <v>0</v>
      </c>
      <c r="DU174" s="387">
        <v>0</v>
      </c>
      <c r="DV174" s="387">
        <v>0</v>
      </c>
      <c r="DW174" s="545">
        <f t="shared" si="23"/>
        <v>0</v>
      </c>
      <c r="DX174" s="858"/>
      <c r="DY174" s="706"/>
      <c r="DZ174" s="872"/>
      <c r="EA174" s="873"/>
      <c r="EB174" s="859"/>
      <c r="EC174" s="859"/>
      <c r="ED174" s="859"/>
      <c r="EE174" s="859"/>
      <c r="EF174" s="861"/>
      <c r="EG174" s="1107"/>
      <c r="EI174" s="858"/>
      <c r="EJ174" s="877"/>
      <c r="ER174" s="497"/>
    </row>
    <row r="175" spans="1:148" s="278" customFormat="1" ht="12" customHeight="1" outlineLevel="2" x14ac:dyDescent="0.2">
      <c r="A175" s="991" t="s">
        <v>577</v>
      </c>
      <c r="B175" s="943" t="s">
        <v>184</v>
      </c>
      <c r="C175" s="987">
        <v>8</v>
      </c>
      <c r="D175" s="1019">
        <f>+IFERROR(VLOOKUP(B175,'Detalle Plan de Adquisiciones'!$G$6:$M$66,7,FALSE),0)</f>
        <v>745436774</v>
      </c>
      <c r="E175" s="889" t="str">
        <f>+'Detalle Plan de Adquisiciones'!F46</f>
        <v>CONSTRUCCIÓN DEL PUNTO DE DESCENTRALIZACIÓN ZONA SUR ROBINSON PITALUA EN CASA JUSTICIA, COMUNA 4. ID[PD-2].  PERTENECIENTE AL SISTEMA ESTRATEGICO DE TRANSPORTE PÚBLICO DE PASAJEROS "SETP" DE LA CIUDAD DE MONTERÍA.</v>
      </c>
      <c r="F175" s="316" t="s">
        <v>410</v>
      </c>
      <c r="G175" s="383">
        <v>0</v>
      </c>
      <c r="H175" s="383">
        <v>0</v>
      </c>
      <c r="I175" s="383">
        <v>0</v>
      </c>
      <c r="J175" s="383">
        <v>0</v>
      </c>
      <c r="K175" s="383">
        <v>0</v>
      </c>
      <c r="L175" s="383">
        <v>0</v>
      </c>
      <c r="M175" s="383">
        <v>0</v>
      </c>
      <c r="N175" s="383">
        <v>0</v>
      </c>
      <c r="O175" s="383">
        <v>0</v>
      </c>
      <c r="P175" s="383">
        <v>0</v>
      </c>
      <c r="Q175" s="383">
        <v>0</v>
      </c>
      <c r="R175" s="383">
        <v>0</v>
      </c>
      <c r="S175" s="383">
        <v>0</v>
      </c>
      <c r="T175" s="383">
        <v>0</v>
      </c>
      <c r="U175" s="383">
        <v>0</v>
      </c>
      <c r="V175" s="383">
        <v>0</v>
      </c>
      <c r="W175" s="383">
        <v>0</v>
      </c>
      <c r="X175" s="383">
        <v>0</v>
      </c>
      <c r="Y175" s="383">
        <v>0</v>
      </c>
      <c r="Z175" s="383">
        <v>0</v>
      </c>
      <c r="AA175" s="383">
        <v>0</v>
      </c>
      <c r="AB175" s="383">
        <v>0</v>
      </c>
      <c r="AC175" s="383">
        <v>0</v>
      </c>
      <c r="AD175" s="383">
        <v>0</v>
      </c>
      <c r="AE175" s="383">
        <v>0</v>
      </c>
      <c r="AF175" s="383">
        <v>0</v>
      </c>
      <c r="AG175" s="383">
        <v>0</v>
      </c>
      <c r="AH175" s="383">
        <v>0</v>
      </c>
      <c r="AI175" s="383">
        <v>0</v>
      </c>
      <c r="AJ175" s="383">
        <v>0</v>
      </c>
      <c r="AK175" s="383">
        <v>0</v>
      </c>
      <c r="AL175" s="383">
        <v>0</v>
      </c>
      <c r="AM175" s="383">
        <v>0</v>
      </c>
      <c r="AN175" s="383">
        <v>0</v>
      </c>
      <c r="AO175" s="383">
        <v>0</v>
      </c>
      <c r="AP175" s="383">
        <v>0</v>
      </c>
      <c r="AQ175" s="383">
        <v>0</v>
      </c>
      <c r="AR175" s="383">
        <v>0</v>
      </c>
      <c r="AS175" s="383">
        <v>0</v>
      </c>
      <c r="AT175" s="383">
        <v>0</v>
      </c>
      <c r="AU175" s="383">
        <v>0</v>
      </c>
      <c r="AV175" s="383">
        <v>0</v>
      </c>
      <c r="AW175" s="383">
        <v>0</v>
      </c>
      <c r="AX175" s="383">
        <v>0</v>
      </c>
      <c r="AY175" s="383">
        <v>0</v>
      </c>
      <c r="AZ175" s="383">
        <v>0</v>
      </c>
      <c r="BA175" s="383">
        <v>0</v>
      </c>
      <c r="BB175" s="383">
        <v>0</v>
      </c>
      <c r="BC175" s="383">
        <v>0</v>
      </c>
      <c r="BD175" s="383">
        <v>0</v>
      </c>
      <c r="BE175" s="383">
        <v>0</v>
      </c>
      <c r="BF175" s="383">
        <v>0</v>
      </c>
      <c r="BG175" s="383">
        <v>0</v>
      </c>
      <c r="BH175" s="383">
        <v>0</v>
      </c>
      <c r="BI175" s="383">
        <v>0</v>
      </c>
      <c r="BJ175" s="383">
        <v>0</v>
      </c>
      <c r="BK175" s="383">
        <v>0</v>
      </c>
      <c r="BL175" s="383">
        <v>0</v>
      </c>
      <c r="BM175" s="383">
        <v>0</v>
      </c>
      <c r="BN175" s="383">
        <v>0</v>
      </c>
      <c r="BO175" s="383">
        <v>0</v>
      </c>
      <c r="BP175" s="383">
        <v>0</v>
      </c>
      <c r="BQ175" s="383">
        <v>0</v>
      </c>
      <c r="BR175" s="383">
        <v>0</v>
      </c>
      <c r="BS175" s="383">
        <v>0</v>
      </c>
      <c r="BT175" s="383">
        <v>0</v>
      </c>
      <c r="BU175" s="383">
        <v>0</v>
      </c>
      <c r="BV175" s="383">
        <v>0</v>
      </c>
      <c r="BW175" s="383">
        <v>0</v>
      </c>
      <c r="BX175" s="383">
        <v>0</v>
      </c>
      <c r="BY175" s="383">
        <v>0</v>
      </c>
      <c r="BZ175" s="383">
        <v>0</v>
      </c>
      <c r="CA175" s="383">
        <v>0</v>
      </c>
      <c r="CB175" s="383">
        <v>0</v>
      </c>
      <c r="CC175" s="383">
        <v>0</v>
      </c>
      <c r="CD175" s="383">
        <v>0</v>
      </c>
      <c r="CE175" s="383">
        <v>0</v>
      </c>
      <c r="CF175" s="383">
        <v>0</v>
      </c>
      <c r="CG175" s="383">
        <v>0</v>
      </c>
      <c r="CH175" s="383">
        <v>0</v>
      </c>
      <c r="CI175" s="383">
        <v>0</v>
      </c>
      <c r="CJ175" s="383">
        <v>0</v>
      </c>
      <c r="CK175" s="383">
        <v>0</v>
      </c>
      <c r="CL175" s="383">
        <v>0</v>
      </c>
      <c r="CM175" s="383">
        <v>0</v>
      </c>
      <c r="CN175" s="383">
        <v>0</v>
      </c>
      <c r="CO175" s="383">
        <v>0</v>
      </c>
      <c r="CP175" s="383">
        <v>0</v>
      </c>
      <c r="CQ175" s="383">
        <v>0</v>
      </c>
      <c r="CR175" s="383">
        <v>0</v>
      </c>
      <c r="CS175" s="383">
        <v>0</v>
      </c>
      <c r="CT175" s="383">
        <v>0</v>
      </c>
      <c r="CU175" s="383">
        <v>0</v>
      </c>
      <c r="CV175" s="383">
        <v>0</v>
      </c>
      <c r="CW175" s="383">
        <v>0</v>
      </c>
      <c r="CX175" s="383">
        <v>0</v>
      </c>
      <c r="CY175" s="383"/>
      <c r="CZ175" s="383"/>
      <c r="DA175" s="383"/>
      <c r="DB175" s="383"/>
      <c r="DC175" s="383"/>
      <c r="DD175" s="383"/>
      <c r="DG175" s="828">
        <f>((+$D$175*0.8)/7)/1000000</f>
        <v>85.192774171428582</v>
      </c>
      <c r="DH175" s="828">
        <f t="shared" ref="DH175:DN175" si="24">((+$D$175*0.8)/7)/1000000</f>
        <v>85.192774171428582</v>
      </c>
      <c r="DI175" s="828">
        <f t="shared" si="24"/>
        <v>85.192774171428582</v>
      </c>
      <c r="DJ175" s="828"/>
      <c r="DK175" s="828">
        <f t="shared" si="24"/>
        <v>85.192774171428582</v>
      </c>
      <c r="DL175" s="828">
        <f t="shared" si="24"/>
        <v>85.192774171428582</v>
      </c>
      <c r="DM175" s="828">
        <f t="shared" si="24"/>
        <v>85.192774171428582</v>
      </c>
      <c r="DN175" s="828">
        <f t="shared" si="24"/>
        <v>85.192774171428582</v>
      </c>
      <c r="DO175" s="828">
        <f>(+$D$175*0.2)/1000000</f>
        <v>149.08735480000001</v>
      </c>
      <c r="DP175" s="383">
        <v>0</v>
      </c>
      <c r="DQ175" s="383">
        <v>0</v>
      </c>
      <c r="DR175" s="383">
        <v>0</v>
      </c>
      <c r="DS175" s="383">
        <v>0</v>
      </c>
      <c r="DT175" s="383">
        <v>0</v>
      </c>
      <c r="DU175" s="383">
        <v>0</v>
      </c>
      <c r="DV175" s="383">
        <v>0</v>
      </c>
      <c r="DW175" s="556">
        <f t="shared" si="23"/>
        <v>745.43677400000001</v>
      </c>
      <c r="DX175" s="858">
        <f>DW175+DW176+DW177</f>
        <v>745.43677400000001</v>
      </c>
      <c r="DY175" s="704">
        <f>+DX175*1000000</f>
        <v>745436774</v>
      </c>
      <c r="DZ175" s="870">
        <f>+DY175-D175</f>
        <v>0</v>
      </c>
      <c r="EA175" s="873">
        <f>VLOOKUP(POA!$B175,'Detalle Plan de Adquisiciones'!$G$6:$AF$66,23,0)</f>
        <v>43363</v>
      </c>
      <c r="EB175" s="859">
        <f>VLOOKUP(POA!$B175,'Detalle Plan de Adquisiciones'!$G$6:$AF$66,25,0)</f>
        <v>43605</v>
      </c>
      <c r="EC175" s="859">
        <f>EB175+30</f>
        <v>43635</v>
      </c>
      <c r="ED175" s="859" t="str">
        <f>CONCATENATE(MONTH(EA175),"-",YEAR(EA175))</f>
        <v>9-2018</v>
      </c>
      <c r="EE175" s="859" t="str">
        <f>CONCATENATE(MONTH(EB175),"-",YEAR(EB175))</f>
        <v>5-2019</v>
      </c>
      <c r="EF175" s="861" t="str">
        <f>CONCATENATE(MONTH(EC175),"-",YEAR(EC175))</f>
        <v>6-2019</v>
      </c>
      <c r="EG175" s="1105">
        <f>+YEAR(EA175)</f>
        <v>2018</v>
      </c>
      <c r="EI175" s="858">
        <f>+DW175+DW176+DW177</f>
        <v>745.43677400000001</v>
      </c>
      <c r="EJ175" s="877">
        <f>+D175/1000000-EI175</f>
        <v>0</v>
      </c>
      <c r="ER175" s="497"/>
    </row>
    <row r="176" spans="1:148" s="278" customFormat="1" ht="12" customHeight="1" outlineLevel="2" x14ac:dyDescent="0.2">
      <c r="A176" s="938"/>
      <c r="B176" s="944"/>
      <c r="C176" s="955"/>
      <c r="D176" s="958"/>
      <c r="E176" s="867"/>
      <c r="F176" s="311" t="s">
        <v>210</v>
      </c>
      <c r="G176" s="363">
        <v>0</v>
      </c>
      <c r="H176" s="363">
        <v>0</v>
      </c>
      <c r="I176" s="363">
        <v>0</v>
      </c>
      <c r="J176" s="363">
        <v>0</v>
      </c>
      <c r="K176" s="363">
        <v>0</v>
      </c>
      <c r="L176" s="363">
        <v>0</v>
      </c>
      <c r="M176" s="363">
        <v>0</v>
      </c>
      <c r="N176" s="363">
        <v>0</v>
      </c>
      <c r="O176" s="363">
        <v>0</v>
      </c>
      <c r="P176" s="363">
        <v>0</v>
      </c>
      <c r="Q176" s="363">
        <v>0</v>
      </c>
      <c r="R176" s="363">
        <v>0</v>
      </c>
      <c r="S176" s="363">
        <v>0</v>
      </c>
      <c r="T176" s="363">
        <v>0</v>
      </c>
      <c r="U176" s="363">
        <v>0</v>
      </c>
      <c r="V176" s="363">
        <v>0</v>
      </c>
      <c r="W176" s="363">
        <v>0</v>
      </c>
      <c r="X176" s="363">
        <v>0</v>
      </c>
      <c r="Y176" s="363">
        <v>0</v>
      </c>
      <c r="Z176" s="363">
        <v>0</v>
      </c>
      <c r="AA176" s="363">
        <v>0</v>
      </c>
      <c r="AB176" s="363">
        <v>0</v>
      </c>
      <c r="AC176" s="363">
        <v>0</v>
      </c>
      <c r="AD176" s="363">
        <v>0</v>
      </c>
      <c r="AE176" s="363">
        <v>0</v>
      </c>
      <c r="AF176" s="363">
        <v>0</v>
      </c>
      <c r="AG176" s="363">
        <v>0</v>
      </c>
      <c r="AH176" s="363">
        <v>0</v>
      </c>
      <c r="AI176" s="363">
        <v>0</v>
      </c>
      <c r="AJ176" s="363">
        <v>0</v>
      </c>
      <c r="AK176" s="363">
        <v>0</v>
      </c>
      <c r="AL176" s="363">
        <v>0</v>
      </c>
      <c r="AM176" s="363">
        <v>0</v>
      </c>
      <c r="AN176" s="363">
        <v>0</v>
      </c>
      <c r="AO176" s="363">
        <v>0</v>
      </c>
      <c r="AP176" s="363">
        <v>0</v>
      </c>
      <c r="AQ176" s="363">
        <v>0</v>
      </c>
      <c r="AR176" s="363">
        <v>0</v>
      </c>
      <c r="AS176" s="363">
        <v>0</v>
      </c>
      <c r="AT176" s="363">
        <v>0</v>
      </c>
      <c r="AU176" s="363">
        <v>0</v>
      </c>
      <c r="AV176" s="363">
        <v>0</v>
      </c>
      <c r="AW176" s="363">
        <v>0</v>
      </c>
      <c r="AX176" s="363">
        <v>0</v>
      </c>
      <c r="AY176" s="363">
        <v>0</v>
      </c>
      <c r="AZ176" s="363">
        <v>0</v>
      </c>
      <c r="BA176" s="363">
        <v>0</v>
      </c>
      <c r="BB176" s="363">
        <v>0</v>
      </c>
      <c r="BC176" s="363">
        <v>0</v>
      </c>
      <c r="BD176" s="363">
        <v>0</v>
      </c>
      <c r="BE176" s="363">
        <v>0</v>
      </c>
      <c r="BF176" s="363">
        <v>0</v>
      </c>
      <c r="BG176" s="363">
        <v>0</v>
      </c>
      <c r="BH176" s="363">
        <v>0</v>
      </c>
      <c r="BI176" s="363">
        <v>0</v>
      </c>
      <c r="BJ176" s="363">
        <v>0</v>
      </c>
      <c r="BK176" s="363">
        <v>0</v>
      </c>
      <c r="BL176" s="363">
        <v>0</v>
      </c>
      <c r="BM176" s="363">
        <v>0</v>
      </c>
      <c r="BN176" s="363">
        <v>0</v>
      </c>
      <c r="BO176" s="363">
        <v>0</v>
      </c>
      <c r="BP176" s="363">
        <v>0</v>
      </c>
      <c r="BQ176" s="363">
        <v>0</v>
      </c>
      <c r="BR176" s="363">
        <v>0</v>
      </c>
      <c r="BS176" s="363">
        <v>0</v>
      </c>
      <c r="BT176" s="363">
        <v>0</v>
      </c>
      <c r="BU176" s="363">
        <v>0</v>
      </c>
      <c r="BV176" s="363">
        <v>0</v>
      </c>
      <c r="BW176" s="363">
        <v>0</v>
      </c>
      <c r="BX176" s="363">
        <v>0</v>
      </c>
      <c r="BY176" s="363">
        <v>0</v>
      </c>
      <c r="BZ176" s="363">
        <v>0</v>
      </c>
      <c r="CA176" s="363">
        <v>0</v>
      </c>
      <c r="CB176" s="363">
        <v>0</v>
      </c>
      <c r="CC176" s="363">
        <v>0</v>
      </c>
      <c r="CD176" s="363">
        <v>0</v>
      </c>
      <c r="CE176" s="363">
        <v>0</v>
      </c>
      <c r="CF176" s="363">
        <v>0</v>
      </c>
      <c r="CG176" s="363">
        <v>0</v>
      </c>
      <c r="CH176" s="363">
        <v>0</v>
      </c>
      <c r="CI176" s="363">
        <v>0</v>
      </c>
      <c r="CJ176" s="363">
        <v>0</v>
      </c>
      <c r="CK176" s="363">
        <v>0</v>
      </c>
      <c r="CL176" s="363">
        <v>0</v>
      </c>
      <c r="CM176" s="363">
        <v>0</v>
      </c>
      <c r="CN176" s="363">
        <v>0</v>
      </c>
      <c r="CO176" s="363">
        <v>0</v>
      </c>
      <c r="CP176" s="363">
        <v>0</v>
      </c>
      <c r="CQ176" s="363">
        <v>0</v>
      </c>
      <c r="CR176" s="363">
        <v>0</v>
      </c>
      <c r="CS176" s="363">
        <v>0</v>
      </c>
      <c r="CT176" s="363">
        <v>0</v>
      </c>
      <c r="CU176" s="363">
        <v>0</v>
      </c>
      <c r="CV176" s="363">
        <v>0</v>
      </c>
      <c r="CW176" s="363">
        <v>0</v>
      </c>
      <c r="CX176" s="363">
        <v>0</v>
      </c>
      <c r="CY176" s="363"/>
      <c r="CZ176" s="363"/>
      <c r="DA176" s="363"/>
      <c r="DB176" s="363"/>
      <c r="DC176" s="363"/>
      <c r="DD176" s="363"/>
      <c r="DE176" s="363"/>
      <c r="DF176" s="363"/>
      <c r="DG176" s="363"/>
      <c r="DH176" s="363"/>
      <c r="DI176" s="363"/>
      <c r="DJ176" s="363"/>
      <c r="DK176" s="363">
        <v>0</v>
      </c>
      <c r="DL176" s="363">
        <v>0</v>
      </c>
      <c r="DM176" s="363">
        <v>0</v>
      </c>
      <c r="DN176" s="363">
        <v>0</v>
      </c>
      <c r="DO176" s="363">
        <v>0</v>
      </c>
      <c r="DP176" s="363">
        <v>0</v>
      </c>
      <c r="DQ176" s="363">
        <v>0</v>
      </c>
      <c r="DR176" s="363">
        <v>0</v>
      </c>
      <c r="DS176" s="363">
        <v>0</v>
      </c>
      <c r="DT176" s="363">
        <v>0</v>
      </c>
      <c r="DU176" s="363">
        <v>0</v>
      </c>
      <c r="DV176" s="363">
        <v>0</v>
      </c>
      <c r="DW176" s="544">
        <f t="shared" si="23"/>
        <v>0</v>
      </c>
      <c r="DX176" s="858"/>
      <c r="DY176" s="705"/>
      <c r="DZ176" s="871"/>
      <c r="EA176" s="873"/>
      <c r="EB176" s="859"/>
      <c r="EC176" s="859"/>
      <c r="ED176" s="859"/>
      <c r="EE176" s="859"/>
      <c r="EF176" s="861"/>
      <c r="EG176" s="1106"/>
      <c r="EI176" s="858"/>
      <c r="EJ176" s="877"/>
      <c r="ER176" s="497"/>
    </row>
    <row r="177" spans="1:148" s="278" customFormat="1" ht="27" customHeight="1" outlineLevel="2" thickBot="1" x14ac:dyDescent="0.25">
      <c r="A177" s="939"/>
      <c r="B177" s="964"/>
      <c r="C177" s="956"/>
      <c r="D177" s="959"/>
      <c r="E177" s="875"/>
      <c r="F177" s="313" t="s">
        <v>211</v>
      </c>
      <c r="G177" s="387">
        <v>0</v>
      </c>
      <c r="H177" s="387">
        <v>0</v>
      </c>
      <c r="I177" s="387">
        <v>0</v>
      </c>
      <c r="J177" s="387">
        <v>0</v>
      </c>
      <c r="K177" s="387">
        <v>0</v>
      </c>
      <c r="L177" s="387">
        <v>0</v>
      </c>
      <c r="M177" s="387">
        <v>0</v>
      </c>
      <c r="N177" s="387">
        <v>0</v>
      </c>
      <c r="O177" s="387">
        <v>0</v>
      </c>
      <c r="P177" s="387">
        <v>0</v>
      </c>
      <c r="Q177" s="387">
        <v>0</v>
      </c>
      <c r="R177" s="387">
        <v>0</v>
      </c>
      <c r="S177" s="387">
        <v>0</v>
      </c>
      <c r="T177" s="387">
        <v>0</v>
      </c>
      <c r="U177" s="387">
        <v>0</v>
      </c>
      <c r="V177" s="387">
        <v>0</v>
      </c>
      <c r="W177" s="387">
        <v>0</v>
      </c>
      <c r="X177" s="387">
        <v>0</v>
      </c>
      <c r="Y177" s="387">
        <v>0</v>
      </c>
      <c r="Z177" s="387">
        <v>0</v>
      </c>
      <c r="AA177" s="387">
        <v>0</v>
      </c>
      <c r="AB177" s="387">
        <v>0</v>
      </c>
      <c r="AC177" s="387">
        <v>0</v>
      </c>
      <c r="AD177" s="387">
        <v>0</v>
      </c>
      <c r="AE177" s="387">
        <v>0</v>
      </c>
      <c r="AF177" s="387">
        <v>0</v>
      </c>
      <c r="AG177" s="387">
        <v>0</v>
      </c>
      <c r="AH177" s="387">
        <v>0</v>
      </c>
      <c r="AI177" s="387">
        <v>0</v>
      </c>
      <c r="AJ177" s="387">
        <v>0</v>
      </c>
      <c r="AK177" s="387">
        <v>0</v>
      </c>
      <c r="AL177" s="387">
        <v>0</v>
      </c>
      <c r="AM177" s="387">
        <v>0</v>
      </c>
      <c r="AN177" s="387">
        <v>0</v>
      </c>
      <c r="AO177" s="387">
        <v>0</v>
      </c>
      <c r="AP177" s="387">
        <v>0</v>
      </c>
      <c r="AQ177" s="387">
        <v>0</v>
      </c>
      <c r="AR177" s="387">
        <v>0</v>
      </c>
      <c r="AS177" s="387">
        <v>0</v>
      </c>
      <c r="AT177" s="387">
        <v>0</v>
      </c>
      <c r="AU177" s="387">
        <v>0</v>
      </c>
      <c r="AV177" s="387">
        <v>0</v>
      </c>
      <c r="AW177" s="387">
        <v>0</v>
      </c>
      <c r="AX177" s="387">
        <v>0</v>
      </c>
      <c r="AY177" s="387">
        <v>0</v>
      </c>
      <c r="AZ177" s="387">
        <v>0</v>
      </c>
      <c r="BA177" s="387">
        <v>0</v>
      </c>
      <c r="BB177" s="387">
        <v>0</v>
      </c>
      <c r="BC177" s="387">
        <v>0</v>
      </c>
      <c r="BD177" s="387">
        <v>0</v>
      </c>
      <c r="BE177" s="387">
        <v>0</v>
      </c>
      <c r="BF177" s="387">
        <v>0</v>
      </c>
      <c r="BG177" s="387">
        <v>0</v>
      </c>
      <c r="BH177" s="387">
        <v>0</v>
      </c>
      <c r="BI177" s="387">
        <v>0</v>
      </c>
      <c r="BJ177" s="387">
        <v>0</v>
      </c>
      <c r="BK177" s="387">
        <v>0</v>
      </c>
      <c r="BL177" s="387">
        <v>0</v>
      </c>
      <c r="BM177" s="387">
        <v>0</v>
      </c>
      <c r="BN177" s="387">
        <v>0</v>
      </c>
      <c r="BO177" s="387">
        <v>0</v>
      </c>
      <c r="BP177" s="387">
        <v>0</v>
      </c>
      <c r="BQ177" s="387">
        <v>0</v>
      </c>
      <c r="BR177" s="387">
        <v>0</v>
      </c>
      <c r="BS177" s="387">
        <v>0</v>
      </c>
      <c r="BT177" s="387">
        <v>0</v>
      </c>
      <c r="BU177" s="387">
        <v>0</v>
      </c>
      <c r="BV177" s="387">
        <v>0</v>
      </c>
      <c r="BW177" s="387">
        <v>0</v>
      </c>
      <c r="BX177" s="387">
        <v>0</v>
      </c>
      <c r="BY177" s="387">
        <v>0</v>
      </c>
      <c r="BZ177" s="387">
        <v>0</v>
      </c>
      <c r="CA177" s="387">
        <v>0</v>
      </c>
      <c r="CB177" s="387">
        <v>0</v>
      </c>
      <c r="CC177" s="387">
        <v>0</v>
      </c>
      <c r="CD177" s="387">
        <v>0</v>
      </c>
      <c r="CE177" s="387">
        <v>0</v>
      </c>
      <c r="CF177" s="387">
        <v>0</v>
      </c>
      <c r="CG177" s="387">
        <v>0</v>
      </c>
      <c r="CH177" s="387">
        <v>0</v>
      </c>
      <c r="CI177" s="387">
        <v>0</v>
      </c>
      <c r="CJ177" s="387">
        <v>0</v>
      </c>
      <c r="CK177" s="387">
        <v>0</v>
      </c>
      <c r="CL177" s="387">
        <v>0</v>
      </c>
      <c r="CM177" s="387">
        <v>0</v>
      </c>
      <c r="CN177" s="387">
        <v>0</v>
      </c>
      <c r="CO177" s="387">
        <v>0</v>
      </c>
      <c r="CP177" s="387">
        <v>0</v>
      </c>
      <c r="CQ177" s="387">
        <v>0</v>
      </c>
      <c r="CR177" s="387">
        <v>0</v>
      </c>
      <c r="CS177" s="387">
        <v>0</v>
      </c>
      <c r="CT177" s="387">
        <v>0</v>
      </c>
      <c r="CU177" s="387">
        <v>0</v>
      </c>
      <c r="CV177" s="387">
        <v>0</v>
      </c>
      <c r="CW177" s="387">
        <v>0</v>
      </c>
      <c r="CX177" s="387"/>
      <c r="CY177" s="387"/>
      <c r="CZ177" s="387"/>
      <c r="DA177" s="387"/>
      <c r="DB177" s="387"/>
      <c r="DC177" s="387"/>
      <c r="DD177" s="387"/>
      <c r="DE177" s="387"/>
      <c r="DF177" s="387"/>
      <c r="DG177" s="387"/>
      <c r="DH177" s="387"/>
      <c r="DI177" s="387"/>
      <c r="DJ177" s="387"/>
      <c r="DK177" s="387">
        <v>0</v>
      </c>
      <c r="DL177" s="387">
        <v>0</v>
      </c>
      <c r="DM177" s="387">
        <v>0</v>
      </c>
      <c r="DN177" s="387">
        <v>0</v>
      </c>
      <c r="DO177" s="387">
        <v>0</v>
      </c>
      <c r="DP177" s="387">
        <v>0</v>
      </c>
      <c r="DQ177" s="387">
        <v>0</v>
      </c>
      <c r="DR177" s="387">
        <v>0</v>
      </c>
      <c r="DS177" s="387">
        <v>0</v>
      </c>
      <c r="DT177" s="387">
        <v>0</v>
      </c>
      <c r="DU177" s="387">
        <v>0</v>
      </c>
      <c r="DV177" s="387">
        <v>0</v>
      </c>
      <c r="DW177" s="545">
        <f t="shared" si="23"/>
        <v>0</v>
      </c>
      <c r="DX177" s="858"/>
      <c r="DY177" s="706"/>
      <c r="DZ177" s="872"/>
      <c r="EA177" s="873"/>
      <c r="EB177" s="859"/>
      <c r="EC177" s="859"/>
      <c r="ED177" s="859"/>
      <c r="EE177" s="859"/>
      <c r="EF177" s="861"/>
      <c r="EG177" s="1107"/>
      <c r="EI177" s="858"/>
      <c r="EJ177" s="877"/>
      <c r="ER177" s="497"/>
    </row>
    <row r="178" spans="1:148" s="278" customFormat="1" ht="12" customHeight="1" outlineLevel="2" x14ac:dyDescent="0.2">
      <c r="A178" s="937" t="s">
        <v>578</v>
      </c>
      <c r="B178" s="963" t="s">
        <v>185</v>
      </c>
      <c r="C178" s="954">
        <v>8</v>
      </c>
      <c r="D178" s="985">
        <f>+IFERROR(VLOOKUP(B178,'Detalle Plan de Adquisiciones'!$G$6:$M$66,7,FALSE),0)</f>
        <v>0</v>
      </c>
      <c r="E178" s="866" t="str">
        <f>+'Detalle Plan de Adquisiciones'!F47</f>
        <v>PUNTO DE CENTRALIZACIÓN BARRIO SAN MARTÍN</v>
      </c>
      <c r="F178" s="312" t="s">
        <v>410</v>
      </c>
      <c r="G178" s="354">
        <v>0</v>
      </c>
      <c r="H178" s="354">
        <v>0</v>
      </c>
      <c r="I178" s="354">
        <v>0</v>
      </c>
      <c r="J178" s="354">
        <v>0</v>
      </c>
      <c r="K178" s="354">
        <v>0</v>
      </c>
      <c r="L178" s="354">
        <v>0</v>
      </c>
      <c r="M178" s="354">
        <v>0</v>
      </c>
      <c r="N178" s="354">
        <v>0</v>
      </c>
      <c r="O178" s="354">
        <v>0</v>
      </c>
      <c r="P178" s="354">
        <v>0</v>
      </c>
      <c r="Q178" s="354">
        <v>0</v>
      </c>
      <c r="R178" s="354">
        <v>0</v>
      </c>
      <c r="S178" s="354">
        <v>0</v>
      </c>
      <c r="T178" s="354">
        <v>0</v>
      </c>
      <c r="U178" s="354">
        <v>0</v>
      </c>
      <c r="V178" s="354">
        <v>0</v>
      </c>
      <c r="W178" s="354">
        <v>0</v>
      </c>
      <c r="X178" s="354">
        <v>0</v>
      </c>
      <c r="Y178" s="354">
        <v>0</v>
      </c>
      <c r="Z178" s="354">
        <v>0</v>
      </c>
      <c r="AA178" s="354">
        <v>0</v>
      </c>
      <c r="AB178" s="354">
        <v>0</v>
      </c>
      <c r="AC178" s="354">
        <v>0</v>
      </c>
      <c r="AD178" s="354">
        <v>0</v>
      </c>
      <c r="AE178" s="354">
        <v>0</v>
      </c>
      <c r="AF178" s="354">
        <v>0</v>
      </c>
      <c r="AG178" s="354">
        <v>0</v>
      </c>
      <c r="AH178" s="354">
        <v>0</v>
      </c>
      <c r="AI178" s="354">
        <v>0</v>
      </c>
      <c r="AJ178" s="354">
        <v>0</v>
      </c>
      <c r="AK178" s="354">
        <v>0</v>
      </c>
      <c r="AL178" s="354">
        <v>0</v>
      </c>
      <c r="AM178" s="354">
        <v>0</v>
      </c>
      <c r="AN178" s="354">
        <v>0</v>
      </c>
      <c r="AO178" s="354">
        <v>0</v>
      </c>
      <c r="AP178" s="354">
        <v>0</v>
      </c>
      <c r="AQ178" s="354">
        <v>0</v>
      </c>
      <c r="AR178" s="354">
        <v>0</v>
      </c>
      <c r="AS178" s="354">
        <v>0</v>
      </c>
      <c r="AT178" s="354">
        <v>0</v>
      </c>
      <c r="AU178" s="354">
        <v>0</v>
      </c>
      <c r="AV178" s="354">
        <v>0</v>
      </c>
      <c r="AW178" s="354">
        <v>0</v>
      </c>
      <c r="AX178" s="354">
        <v>0</v>
      </c>
      <c r="AY178" s="354">
        <v>0</v>
      </c>
      <c r="AZ178" s="354">
        <v>0</v>
      </c>
      <c r="BA178" s="354">
        <v>0</v>
      </c>
      <c r="BB178" s="354">
        <v>0</v>
      </c>
      <c r="BC178" s="354">
        <v>0</v>
      </c>
      <c r="BD178" s="354">
        <v>0</v>
      </c>
      <c r="BE178" s="354">
        <v>0</v>
      </c>
      <c r="BF178" s="354">
        <v>0</v>
      </c>
      <c r="BG178" s="354">
        <v>0</v>
      </c>
      <c r="BH178" s="354">
        <v>0</v>
      </c>
      <c r="BI178" s="354">
        <v>0</v>
      </c>
      <c r="BJ178" s="354">
        <v>0</v>
      </c>
      <c r="BK178" s="354">
        <v>0</v>
      </c>
      <c r="BL178" s="354">
        <v>0</v>
      </c>
      <c r="BM178" s="354">
        <v>0</v>
      </c>
      <c r="BN178" s="354">
        <v>0</v>
      </c>
      <c r="BO178" s="354">
        <v>0</v>
      </c>
      <c r="BP178" s="354">
        <v>0</v>
      </c>
      <c r="BQ178" s="354">
        <v>0</v>
      </c>
      <c r="BR178" s="354">
        <v>0</v>
      </c>
      <c r="BS178" s="354">
        <v>0</v>
      </c>
      <c r="BT178" s="354">
        <v>0</v>
      </c>
      <c r="BU178" s="354">
        <v>0</v>
      </c>
      <c r="BV178" s="354">
        <v>0</v>
      </c>
      <c r="BW178" s="354">
        <v>0</v>
      </c>
      <c r="BX178" s="354">
        <v>0</v>
      </c>
      <c r="BY178" s="354">
        <v>0</v>
      </c>
      <c r="BZ178" s="354">
        <v>0</v>
      </c>
      <c r="CA178" s="354">
        <v>0</v>
      </c>
      <c r="CB178" s="354">
        <v>0</v>
      </c>
      <c r="CC178" s="354">
        <v>0</v>
      </c>
      <c r="CD178" s="354">
        <v>0</v>
      </c>
      <c r="CE178" s="354">
        <v>0</v>
      </c>
      <c r="CF178" s="354">
        <v>0</v>
      </c>
      <c r="CG178" s="354">
        <v>0</v>
      </c>
      <c r="CH178" s="354">
        <v>0</v>
      </c>
      <c r="CI178" s="354">
        <v>0</v>
      </c>
      <c r="CJ178" s="354">
        <v>0</v>
      </c>
      <c r="CK178" s="354">
        <v>0</v>
      </c>
      <c r="CL178" s="354">
        <v>0</v>
      </c>
      <c r="CM178" s="354">
        <v>0</v>
      </c>
      <c r="CN178" s="354">
        <v>0</v>
      </c>
      <c r="CO178" s="354">
        <v>0</v>
      </c>
      <c r="CP178" s="354">
        <v>0</v>
      </c>
      <c r="CQ178" s="354">
        <v>0</v>
      </c>
      <c r="CR178" s="354">
        <v>0</v>
      </c>
      <c r="CS178" s="354">
        <v>0</v>
      </c>
      <c r="CT178" s="354">
        <v>0</v>
      </c>
      <c r="CU178" s="354">
        <v>0</v>
      </c>
      <c r="CV178" s="354">
        <v>0</v>
      </c>
      <c r="CW178" s="354">
        <v>0</v>
      </c>
      <c r="CX178" s="354">
        <v>0</v>
      </c>
      <c r="CY178" s="354"/>
      <c r="CZ178" s="354"/>
      <c r="DA178" s="354"/>
      <c r="DB178" s="354"/>
      <c r="DC178" s="354"/>
      <c r="DD178" s="354"/>
      <c r="DE178" s="354"/>
      <c r="DF178" s="354"/>
      <c r="DG178" s="354"/>
      <c r="DH178" s="354"/>
      <c r="DI178" s="354"/>
      <c r="DJ178" s="354"/>
      <c r="DK178" s="354"/>
      <c r="DL178" s="354">
        <v>0</v>
      </c>
      <c r="DM178" s="354">
        <v>0</v>
      </c>
      <c r="DN178" s="354">
        <v>0</v>
      </c>
      <c r="DO178" s="354">
        <v>0</v>
      </c>
      <c r="DP178" s="354">
        <v>0</v>
      </c>
      <c r="DQ178" s="354">
        <v>0</v>
      </c>
      <c r="DR178" s="354">
        <v>0</v>
      </c>
      <c r="DS178" s="354">
        <v>0</v>
      </c>
      <c r="DT178" s="354">
        <v>0</v>
      </c>
      <c r="DU178" s="354">
        <v>0</v>
      </c>
      <c r="DV178" s="354">
        <v>0</v>
      </c>
      <c r="DW178" s="543">
        <f t="shared" si="23"/>
        <v>0</v>
      </c>
      <c r="DX178" s="858">
        <f>DW178+DW179+DW180</f>
        <v>0</v>
      </c>
      <c r="DY178" s="704">
        <f>+DX178*1000000</f>
        <v>0</v>
      </c>
      <c r="DZ178" s="870">
        <f>+DY178-D178</f>
        <v>0</v>
      </c>
      <c r="EA178" s="873" t="str">
        <f>VLOOKUP(POA!$B178,'Detalle Plan de Adquisiciones'!$G$6:$AF$66,23,0)</f>
        <v>N/A</v>
      </c>
      <c r="EB178" s="859" t="str">
        <f>VLOOKUP(POA!$B178,'Detalle Plan de Adquisiciones'!$G$6:$AF$66,25,0)</f>
        <v>N/A</v>
      </c>
      <c r="EC178" s="859" t="e">
        <f>EB178+30</f>
        <v>#VALUE!</v>
      </c>
      <c r="ED178" s="859" t="e">
        <f>CONCATENATE(MONTH(EA178),"-",YEAR(EA178))</f>
        <v>#VALUE!</v>
      </c>
      <c r="EE178" s="859" t="e">
        <f>CONCATENATE(MONTH(EB178),"-",YEAR(EB178))</f>
        <v>#VALUE!</v>
      </c>
      <c r="EF178" s="861" t="e">
        <f>CONCATENATE(MONTH(EC178),"-",YEAR(EC178))</f>
        <v>#VALUE!</v>
      </c>
      <c r="EG178" s="1105" t="e">
        <f>+YEAR(EA178)</f>
        <v>#VALUE!</v>
      </c>
      <c r="EI178" s="858">
        <f>+DW178+DW179+DW180</f>
        <v>0</v>
      </c>
      <c r="EJ178" s="877">
        <f>+D178/1000000-EI178</f>
        <v>0</v>
      </c>
      <c r="ER178" s="497"/>
    </row>
    <row r="179" spans="1:148" s="278" customFormat="1" ht="12" customHeight="1" outlineLevel="2" x14ac:dyDescent="0.2">
      <c r="A179" s="938"/>
      <c r="B179" s="944"/>
      <c r="C179" s="955"/>
      <c r="D179" s="947"/>
      <c r="E179" s="867"/>
      <c r="F179" s="311" t="s">
        <v>210</v>
      </c>
      <c r="G179" s="363">
        <v>0</v>
      </c>
      <c r="H179" s="363">
        <v>0</v>
      </c>
      <c r="I179" s="363">
        <v>0</v>
      </c>
      <c r="J179" s="363">
        <v>0</v>
      </c>
      <c r="K179" s="363">
        <v>0</v>
      </c>
      <c r="L179" s="363">
        <v>0</v>
      </c>
      <c r="M179" s="363">
        <v>0</v>
      </c>
      <c r="N179" s="363">
        <v>0</v>
      </c>
      <c r="O179" s="363">
        <v>0</v>
      </c>
      <c r="P179" s="363">
        <v>0</v>
      </c>
      <c r="Q179" s="363">
        <v>0</v>
      </c>
      <c r="R179" s="363">
        <v>0</v>
      </c>
      <c r="S179" s="363">
        <v>0</v>
      </c>
      <c r="T179" s="363">
        <v>0</v>
      </c>
      <c r="U179" s="363">
        <v>0</v>
      </c>
      <c r="V179" s="363">
        <v>0</v>
      </c>
      <c r="W179" s="363">
        <v>0</v>
      </c>
      <c r="X179" s="363">
        <v>0</v>
      </c>
      <c r="Y179" s="363">
        <v>0</v>
      </c>
      <c r="Z179" s="363">
        <v>0</v>
      </c>
      <c r="AA179" s="363">
        <v>0</v>
      </c>
      <c r="AB179" s="363">
        <v>0</v>
      </c>
      <c r="AC179" s="363">
        <v>0</v>
      </c>
      <c r="AD179" s="363">
        <v>0</v>
      </c>
      <c r="AE179" s="363">
        <v>0</v>
      </c>
      <c r="AF179" s="363">
        <v>0</v>
      </c>
      <c r="AG179" s="363">
        <v>0</v>
      </c>
      <c r="AH179" s="363">
        <v>0</v>
      </c>
      <c r="AI179" s="363">
        <v>0</v>
      </c>
      <c r="AJ179" s="363">
        <v>0</v>
      </c>
      <c r="AK179" s="363">
        <v>0</v>
      </c>
      <c r="AL179" s="363">
        <v>0</v>
      </c>
      <c r="AM179" s="363">
        <v>0</v>
      </c>
      <c r="AN179" s="363">
        <v>0</v>
      </c>
      <c r="AO179" s="363">
        <v>0</v>
      </c>
      <c r="AP179" s="363">
        <v>0</v>
      </c>
      <c r="AQ179" s="363">
        <v>0</v>
      </c>
      <c r="AR179" s="363">
        <v>0</v>
      </c>
      <c r="AS179" s="363">
        <v>0</v>
      </c>
      <c r="AT179" s="363">
        <v>0</v>
      </c>
      <c r="AU179" s="363">
        <v>0</v>
      </c>
      <c r="AV179" s="363">
        <v>0</v>
      </c>
      <c r="AW179" s="363">
        <v>0</v>
      </c>
      <c r="AX179" s="363">
        <v>0</v>
      </c>
      <c r="AY179" s="363">
        <v>0</v>
      </c>
      <c r="AZ179" s="363">
        <v>0</v>
      </c>
      <c r="BA179" s="363">
        <v>0</v>
      </c>
      <c r="BB179" s="363">
        <v>0</v>
      </c>
      <c r="BC179" s="363">
        <v>0</v>
      </c>
      <c r="BD179" s="363">
        <v>0</v>
      </c>
      <c r="BE179" s="363">
        <v>0</v>
      </c>
      <c r="BF179" s="363">
        <v>0</v>
      </c>
      <c r="BG179" s="363">
        <v>0</v>
      </c>
      <c r="BH179" s="363">
        <v>0</v>
      </c>
      <c r="BI179" s="363">
        <v>0</v>
      </c>
      <c r="BJ179" s="363">
        <v>0</v>
      </c>
      <c r="BK179" s="363">
        <v>0</v>
      </c>
      <c r="BL179" s="363">
        <v>0</v>
      </c>
      <c r="BM179" s="363">
        <v>0</v>
      </c>
      <c r="BN179" s="363">
        <v>0</v>
      </c>
      <c r="BO179" s="363">
        <v>0</v>
      </c>
      <c r="BP179" s="363">
        <v>0</v>
      </c>
      <c r="BQ179" s="363">
        <v>0</v>
      </c>
      <c r="BR179" s="363">
        <v>0</v>
      </c>
      <c r="BS179" s="363">
        <v>0</v>
      </c>
      <c r="BT179" s="363">
        <v>0</v>
      </c>
      <c r="BU179" s="363">
        <v>0</v>
      </c>
      <c r="BV179" s="363">
        <v>0</v>
      </c>
      <c r="BW179" s="363">
        <v>0</v>
      </c>
      <c r="BX179" s="363">
        <v>0</v>
      </c>
      <c r="BY179" s="363">
        <v>0</v>
      </c>
      <c r="BZ179" s="363">
        <v>0</v>
      </c>
      <c r="CA179" s="363">
        <v>0</v>
      </c>
      <c r="CB179" s="363">
        <v>0</v>
      </c>
      <c r="CC179" s="363">
        <v>0</v>
      </c>
      <c r="CD179" s="363">
        <v>0</v>
      </c>
      <c r="CE179" s="363">
        <v>0</v>
      </c>
      <c r="CF179" s="363">
        <v>0</v>
      </c>
      <c r="CG179" s="363">
        <v>0</v>
      </c>
      <c r="CH179" s="363">
        <v>0</v>
      </c>
      <c r="CI179" s="363">
        <v>0</v>
      </c>
      <c r="CJ179" s="363">
        <v>0</v>
      </c>
      <c r="CK179" s="363">
        <v>0</v>
      </c>
      <c r="CL179" s="363">
        <v>0</v>
      </c>
      <c r="CM179" s="363">
        <v>0</v>
      </c>
      <c r="CN179" s="363">
        <v>0</v>
      </c>
      <c r="CO179" s="363">
        <v>0</v>
      </c>
      <c r="CP179" s="363">
        <v>0</v>
      </c>
      <c r="CQ179" s="363">
        <v>0</v>
      </c>
      <c r="CR179" s="363">
        <v>0</v>
      </c>
      <c r="CS179" s="363">
        <v>0</v>
      </c>
      <c r="CT179" s="363">
        <v>0</v>
      </c>
      <c r="CU179" s="363">
        <v>0</v>
      </c>
      <c r="CV179" s="363">
        <v>0</v>
      </c>
      <c r="CW179" s="363">
        <v>0</v>
      </c>
      <c r="CX179" s="363">
        <v>0</v>
      </c>
      <c r="CY179" s="363"/>
      <c r="CZ179" s="363"/>
      <c r="DA179" s="363"/>
      <c r="DB179" s="363"/>
      <c r="DC179" s="363"/>
      <c r="DD179" s="363"/>
      <c r="DE179" s="363"/>
      <c r="DF179" s="363"/>
      <c r="DG179" s="363"/>
      <c r="DH179" s="363"/>
      <c r="DI179" s="363"/>
      <c r="DJ179" s="363"/>
      <c r="DK179" s="363">
        <v>0</v>
      </c>
      <c r="DL179" s="363">
        <v>0</v>
      </c>
      <c r="DM179" s="363">
        <v>0</v>
      </c>
      <c r="DN179" s="363">
        <v>0</v>
      </c>
      <c r="DO179" s="363">
        <v>0</v>
      </c>
      <c r="DP179" s="363">
        <v>0</v>
      </c>
      <c r="DQ179" s="363">
        <v>0</v>
      </c>
      <c r="DR179" s="363">
        <v>0</v>
      </c>
      <c r="DS179" s="363">
        <v>0</v>
      </c>
      <c r="DT179" s="363">
        <v>0</v>
      </c>
      <c r="DU179" s="363">
        <v>0</v>
      </c>
      <c r="DV179" s="363">
        <v>0</v>
      </c>
      <c r="DW179" s="544">
        <f t="shared" si="23"/>
        <v>0</v>
      </c>
      <c r="DX179" s="858"/>
      <c r="DY179" s="705"/>
      <c r="DZ179" s="871"/>
      <c r="EA179" s="873"/>
      <c r="EB179" s="859"/>
      <c r="EC179" s="859"/>
      <c r="ED179" s="859"/>
      <c r="EE179" s="859"/>
      <c r="EF179" s="861"/>
      <c r="EG179" s="1106"/>
      <c r="EI179" s="858"/>
      <c r="EJ179" s="877"/>
      <c r="ER179" s="497"/>
    </row>
    <row r="180" spans="1:148" s="278" customFormat="1" ht="33" customHeight="1" outlineLevel="2" thickBot="1" x14ac:dyDescent="0.25">
      <c r="A180" s="939"/>
      <c r="B180" s="964"/>
      <c r="C180" s="956"/>
      <c r="D180" s="986"/>
      <c r="E180" s="875"/>
      <c r="F180" s="313" t="s">
        <v>211</v>
      </c>
      <c r="G180" s="387">
        <v>0</v>
      </c>
      <c r="H180" s="387">
        <v>0</v>
      </c>
      <c r="I180" s="387">
        <v>0</v>
      </c>
      <c r="J180" s="387">
        <v>0</v>
      </c>
      <c r="K180" s="387">
        <v>0</v>
      </c>
      <c r="L180" s="387">
        <v>0</v>
      </c>
      <c r="M180" s="387">
        <v>0</v>
      </c>
      <c r="N180" s="387">
        <v>0</v>
      </c>
      <c r="O180" s="387">
        <v>0</v>
      </c>
      <c r="P180" s="387">
        <v>0</v>
      </c>
      <c r="Q180" s="387">
        <v>0</v>
      </c>
      <c r="R180" s="387">
        <v>0</v>
      </c>
      <c r="S180" s="387">
        <v>0</v>
      </c>
      <c r="T180" s="387">
        <v>0</v>
      </c>
      <c r="U180" s="387">
        <v>0</v>
      </c>
      <c r="V180" s="387">
        <v>0</v>
      </c>
      <c r="W180" s="387">
        <v>0</v>
      </c>
      <c r="X180" s="387">
        <v>0</v>
      </c>
      <c r="Y180" s="387">
        <v>0</v>
      </c>
      <c r="Z180" s="387">
        <v>0</v>
      </c>
      <c r="AA180" s="387">
        <v>0</v>
      </c>
      <c r="AB180" s="387">
        <v>0</v>
      </c>
      <c r="AC180" s="387">
        <v>0</v>
      </c>
      <c r="AD180" s="387">
        <v>0</v>
      </c>
      <c r="AE180" s="387">
        <v>0</v>
      </c>
      <c r="AF180" s="387">
        <v>0</v>
      </c>
      <c r="AG180" s="387">
        <v>0</v>
      </c>
      <c r="AH180" s="387">
        <v>0</v>
      </c>
      <c r="AI180" s="387">
        <v>0</v>
      </c>
      <c r="AJ180" s="387">
        <v>0</v>
      </c>
      <c r="AK180" s="387">
        <v>0</v>
      </c>
      <c r="AL180" s="387">
        <v>0</v>
      </c>
      <c r="AM180" s="387">
        <v>0</v>
      </c>
      <c r="AN180" s="387">
        <v>0</v>
      </c>
      <c r="AO180" s="387">
        <v>0</v>
      </c>
      <c r="AP180" s="387">
        <v>0</v>
      </c>
      <c r="AQ180" s="387">
        <v>0</v>
      </c>
      <c r="AR180" s="387">
        <v>0</v>
      </c>
      <c r="AS180" s="387">
        <v>0</v>
      </c>
      <c r="AT180" s="387">
        <v>0</v>
      </c>
      <c r="AU180" s="387">
        <v>0</v>
      </c>
      <c r="AV180" s="387">
        <v>0</v>
      </c>
      <c r="AW180" s="387">
        <v>0</v>
      </c>
      <c r="AX180" s="387">
        <v>0</v>
      </c>
      <c r="AY180" s="387">
        <v>0</v>
      </c>
      <c r="AZ180" s="387">
        <v>0</v>
      </c>
      <c r="BA180" s="387">
        <v>0</v>
      </c>
      <c r="BB180" s="387">
        <v>0</v>
      </c>
      <c r="BC180" s="387">
        <v>0</v>
      </c>
      <c r="BD180" s="387">
        <v>0</v>
      </c>
      <c r="BE180" s="387">
        <v>0</v>
      </c>
      <c r="BF180" s="387">
        <v>0</v>
      </c>
      <c r="BG180" s="387">
        <v>0</v>
      </c>
      <c r="BH180" s="387">
        <v>0</v>
      </c>
      <c r="BI180" s="387">
        <v>0</v>
      </c>
      <c r="BJ180" s="387">
        <v>0</v>
      </c>
      <c r="BK180" s="387">
        <v>0</v>
      </c>
      <c r="BL180" s="387">
        <v>0</v>
      </c>
      <c r="BM180" s="387">
        <v>0</v>
      </c>
      <c r="BN180" s="387">
        <v>0</v>
      </c>
      <c r="BO180" s="387">
        <v>0</v>
      </c>
      <c r="BP180" s="387">
        <v>0</v>
      </c>
      <c r="BQ180" s="387">
        <v>0</v>
      </c>
      <c r="BR180" s="387">
        <v>0</v>
      </c>
      <c r="BS180" s="387">
        <v>0</v>
      </c>
      <c r="BT180" s="387">
        <v>0</v>
      </c>
      <c r="BU180" s="387">
        <v>0</v>
      </c>
      <c r="BV180" s="387">
        <v>0</v>
      </c>
      <c r="BW180" s="387">
        <v>0</v>
      </c>
      <c r="BX180" s="387">
        <v>0</v>
      </c>
      <c r="BY180" s="387">
        <v>0</v>
      </c>
      <c r="BZ180" s="387">
        <v>0</v>
      </c>
      <c r="CA180" s="387">
        <v>0</v>
      </c>
      <c r="CB180" s="387">
        <v>0</v>
      </c>
      <c r="CC180" s="387">
        <v>0</v>
      </c>
      <c r="CD180" s="387">
        <v>0</v>
      </c>
      <c r="CE180" s="387">
        <v>0</v>
      </c>
      <c r="CF180" s="387">
        <v>0</v>
      </c>
      <c r="CG180" s="387">
        <v>0</v>
      </c>
      <c r="CH180" s="387">
        <v>0</v>
      </c>
      <c r="CI180" s="387">
        <v>0</v>
      </c>
      <c r="CJ180" s="387">
        <v>0</v>
      </c>
      <c r="CK180" s="387">
        <v>0</v>
      </c>
      <c r="CL180" s="387">
        <v>0</v>
      </c>
      <c r="CM180" s="387">
        <v>0</v>
      </c>
      <c r="CN180" s="387">
        <v>0</v>
      </c>
      <c r="CO180" s="387">
        <v>0</v>
      </c>
      <c r="CP180" s="387">
        <v>0</v>
      </c>
      <c r="CQ180" s="387">
        <v>0</v>
      </c>
      <c r="CR180" s="387">
        <v>0</v>
      </c>
      <c r="CS180" s="387">
        <v>0</v>
      </c>
      <c r="CT180" s="387">
        <v>0</v>
      </c>
      <c r="CU180" s="387">
        <v>0</v>
      </c>
      <c r="CV180" s="387">
        <v>0</v>
      </c>
      <c r="CW180" s="387">
        <v>0</v>
      </c>
      <c r="CX180" s="387">
        <v>0</v>
      </c>
      <c r="CY180" s="670"/>
      <c r="CZ180" s="670"/>
      <c r="DA180" s="670"/>
      <c r="DB180" s="670"/>
      <c r="DC180" s="670">
        <f t="shared" ref="DC180:DJ180" si="25">(+$D$178/8)/1000000</f>
        <v>0</v>
      </c>
      <c r="DD180" s="670">
        <f t="shared" si="25"/>
        <v>0</v>
      </c>
      <c r="DE180" s="670">
        <f t="shared" si="25"/>
        <v>0</v>
      </c>
      <c r="DF180" s="670">
        <f t="shared" si="25"/>
        <v>0</v>
      </c>
      <c r="DG180" s="670">
        <f t="shared" si="25"/>
        <v>0</v>
      </c>
      <c r="DH180" s="670">
        <f t="shared" si="25"/>
        <v>0</v>
      </c>
      <c r="DI180" s="670">
        <f t="shared" si="25"/>
        <v>0</v>
      </c>
      <c r="DJ180" s="670">
        <f t="shared" si="25"/>
        <v>0</v>
      </c>
      <c r="DK180" s="387"/>
      <c r="DL180" s="387"/>
      <c r="DM180" s="387"/>
      <c r="DN180" s="387"/>
      <c r="DO180" s="387"/>
      <c r="DP180" s="387"/>
      <c r="DQ180" s="387"/>
      <c r="DR180" s="387">
        <v>0</v>
      </c>
      <c r="DS180" s="387">
        <v>0</v>
      </c>
      <c r="DT180" s="387">
        <v>0</v>
      </c>
      <c r="DU180" s="387">
        <v>0</v>
      </c>
      <c r="DV180" s="387">
        <v>0</v>
      </c>
      <c r="DW180" s="545">
        <f t="shared" si="23"/>
        <v>0</v>
      </c>
      <c r="DX180" s="858"/>
      <c r="DY180" s="706"/>
      <c r="DZ180" s="872"/>
      <c r="EA180" s="873"/>
      <c r="EB180" s="859"/>
      <c r="EC180" s="859"/>
      <c r="ED180" s="859"/>
      <c r="EE180" s="859"/>
      <c r="EF180" s="861"/>
      <c r="EG180" s="1107"/>
      <c r="EI180" s="858"/>
      <c r="EJ180" s="877"/>
      <c r="ER180" s="497"/>
    </row>
    <row r="181" spans="1:148" s="278" customFormat="1" ht="24" outlineLevel="2" x14ac:dyDescent="0.2">
      <c r="A181" s="937" t="s">
        <v>579</v>
      </c>
      <c r="B181" s="963" t="s">
        <v>187</v>
      </c>
      <c r="C181" s="954">
        <v>8</v>
      </c>
      <c r="D181" s="957">
        <f>+IFERROR(VLOOKUP(B181,'Detalle Plan de Adquisiciones'!$G$6:$M$66,7,FALSE),0)</f>
        <v>2572863226</v>
      </c>
      <c r="E181" s="866" t="str">
        <f>+'Detalle Plan de Adquisiciones'!F48</f>
        <v>PUNTO DE CENTRALIZACIÓN BARRIO LA CASTELLANA</v>
      </c>
      <c r="F181" s="312" t="s">
        <v>410</v>
      </c>
      <c r="G181" s="354">
        <v>0</v>
      </c>
      <c r="H181" s="354">
        <v>0</v>
      </c>
      <c r="I181" s="354">
        <v>0</v>
      </c>
      <c r="J181" s="354">
        <v>0</v>
      </c>
      <c r="K181" s="354">
        <v>0</v>
      </c>
      <c r="L181" s="354">
        <v>0</v>
      </c>
      <c r="M181" s="354">
        <v>0</v>
      </c>
      <c r="N181" s="354">
        <v>0</v>
      </c>
      <c r="O181" s="354">
        <v>0</v>
      </c>
      <c r="P181" s="354">
        <v>0</v>
      </c>
      <c r="Q181" s="354">
        <v>0</v>
      </c>
      <c r="R181" s="354">
        <v>0</v>
      </c>
      <c r="S181" s="354">
        <v>0</v>
      </c>
      <c r="T181" s="354">
        <v>0</v>
      </c>
      <c r="U181" s="354">
        <v>0</v>
      </c>
      <c r="V181" s="354">
        <v>0</v>
      </c>
      <c r="W181" s="354">
        <v>0</v>
      </c>
      <c r="X181" s="354">
        <v>0</v>
      </c>
      <c r="Y181" s="354">
        <v>0</v>
      </c>
      <c r="Z181" s="354">
        <v>0</v>
      </c>
      <c r="AA181" s="354">
        <v>0</v>
      </c>
      <c r="AB181" s="354">
        <v>0</v>
      </c>
      <c r="AC181" s="354">
        <v>0</v>
      </c>
      <c r="AD181" s="354">
        <v>0</v>
      </c>
      <c r="AE181" s="354">
        <v>0</v>
      </c>
      <c r="AF181" s="354">
        <v>0</v>
      </c>
      <c r="AG181" s="354">
        <v>0</v>
      </c>
      <c r="AH181" s="354">
        <v>0</v>
      </c>
      <c r="AI181" s="354">
        <v>0</v>
      </c>
      <c r="AJ181" s="354">
        <v>0</v>
      </c>
      <c r="AK181" s="354">
        <v>0</v>
      </c>
      <c r="AL181" s="354">
        <v>0</v>
      </c>
      <c r="AM181" s="354">
        <v>0</v>
      </c>
      <c r="AN181" s="354">
        <v>0</v>
      </c>
      <c r="AO181" s="354">
        <v>0</v>
      </c>
      <c r="AP181" s="354">
        <v>0</v>
      </c>
      <c r="AQ181" s="354">
        <v>0</v>
      </c>
      <c r="AR181" s="354">
        <v>0</v>
      </c>
      <c r="AS181" s="354">
        <v>0</v>
      </c>
      <c r="AT181" s="354">
        <v>0</v>
      </c>
      <c r="AU181" s="354">
        <v>0</v>
      </c>
      <c r="AV181" s="354">
        <v>0</v>
      </c>
      <c r="AW181" s="354">
        <v>0</v>
      </c>
      <c r="AX181" s="354">
        <v>0</v>
      </c>
      <c r="AY181" s="354">
        <v>0</v>
      </c>
      <c r="AZ181" s="354">
        <v>0</v>
      </c>
      <c r="BA181" s="354">
        <v>0</v>
      </c>
      <c r="BB181" s="354">
        <v>0</v>
      </c>
      <c r="BC181" s="354">
        <v>0</v>
      </c>
      <c r="BD181" s="354">
        <v>0</v>
      </c>
      <c r="BE181" s="354">
        <v>0</v>
      </c>
      <c r="BF181" s="354">
        <v>0</v>
      </c>
      <c r="BG181" s="354">
        <v>0</v>
      </c>
      <c r="BH181" s="354">
        <v>0</v>
      </c>
      <c r="BI181" s="354">
        <v>0</v>
      </c>
      <c r="BJ181" s="354">
        <v>0</v>
      </c>
      <c r="BK181" s="354">
        <v>0</v>
      </c>
      <c r="BL181" s="354">
        <v>0</v>
      </c>
      <c r="BM181" s="354">
        <v>0</v>
      </c>
      <c r="BN181" s="354">
        <v>0</v>
      </c>
      <c r="BO181" s="354">
        <v>0</v>
      </c>
      <c r="BP181" s="354">
        <v>0</v>
      </c>
      <c r="BQ181" s="354">
        <v>0</v>
      </c>
      <c r="BR181" s="354">
        <v>0</v>
      </c>
      <c r="BS181" s="354">
        <v>0</v>
      </c>
      <c r="BT181" s="354">
        <v>0</v>
      </c>
      <c r="BU181" s="354">
        <v>0</v>
      </c>
      <c r="BV181" s="354">
        <v>0</v>
      </c>
      <c r="BW181" s="354">
        <v>0</v>
      </c>
      <c r="BX181" s="354">
        <v>0</v>
      </c>
      <c r="BY181" s="354">
        <v>0</v>
      </c>
      <c r="BZ181" s="354">
        <v>0</v>
      </c>
      <c r="CA181" s="354">
        <v>0</v>
      </c>
      <c r="CB181" s="354">
        <v>0</v>
      </c>
      <c r="CC181" s="354">
        <v>0</v>
      </c>
      <c r="CD181" s="354">
        <v>0</v>
      </c>
      <c r="CE181" s="354">
        <v>0</v>
      </c>
      <c r="CF181" s="354">
        <v>0</v>
      </c>
      <c r="CG181" s="354">
        <v>0</v>
      </c>
      <c r="CH181" s="354">
        <v>0</v>
      </c>
      <c r="CI181" s="354">
        <v>0</v>
      </c>
      <c r="CJ181" s="354">
        <v>0</v>
      </c>
      <c r="CK181" s="354">
        <v>0</v>
      </c>
      <c r="CL181" s="354">
        <v>0</v>
      </c>
      <c r="CM181" s="354">
        <v>0</v>
      </c>
      <c r="CN181" s="354">
        <v>0</v>
      </c>
      <c r="CO181" s="354">
        <v>0</v>
      </c>
      <c r="CP181" s="354">
        <v>0</v>
      </c>
      <c r="CQ181" s="354">
        <v>0</v>
      </c>
      <c r="CR181" s="354">
        <v>0</v>
      </c>
      <c r="CS181" s="354">
        <v>0</v>
      </c>
      <c r="CT181" s="354">
        <v>0</v>
      </c>
      <c r="CU181" s="354">
        <v>0</v>
      </c>
      <c r="CV181" s="354">
        <v>0</v>
      </c>
      <c r="CW181" s="354">
        <v>0</v>
      </c>
      <c r="CX181" s="354">
        <v>0</v>
      </c>
      <c r="CY181" s="354"/>
      <c r="CZ181" s="354"/>
      <c r="DA181" s="354"/>
      <c r="DB181" s="354"/>
      <c r="DC181" s="354"/>
      <c r="DD181" s="354"/>
      <c r="DE181" s="354"/>
      <c r="DF181" s="354"/>
      <c r="DG181" s="354"/>
      <c r="DH181" s="354"/>
      <c r="DI181" s="354"/>
      <c r="DJ181" s="354"/>
      <c r="DK181" s="354"/>
      <c r="DL181" s="828">
        <f>(+$D$181*0.2)/1000000</f>
        <v>514.57264520000001</v>
      </c>
      <c r="DM181" s="828">
        <f>((+$D$181*0.7)/6)/1000000</f>
        <v>300.16737636666659</v>
      </c>
      <c r="DN181" s="828">
        <f>((+$D$181*0.7)/6)/1000000</f>
        <v>300.16737636666659</v>
      </c>
      <c r="DO181" s="828">
        <f>447.585828066666-9.577</f>
        <v>438.00882806666601</v>
      </c>
      <c r="DP181" s="828">
        <v>298.0323763666666</v>
      </c>
      <c r="DQ181" s="828">
        <v>298.0323763666666</v>
      </c>
      <c r="DR181" s="828">
        <f>105.9028709+10.37+9.577</f>
        <v>125.8498709</v>
      </c>
      <c r="DS181" s="828">
        <v>298.0323763666666</v>
      </c>
      <c r="DT181" s="354">
        <v>0</v>
      </c>
      <c r="DU181" s="354">
        <v>0</v>
      </c>
      <c r="DV181" s="354">
        <v>0</v>
      </c>
      <c r="DW181" s="543">
        <f t="shared" si="23"/>
        <v>2572.863225999999</v>
      </c>
      <c r="DX181" s="858">
        <f>DW181+DW182+DW183</f>
        <v>2572.863225999999</v>
      </c>
      <c r="DY181" s="704">
        <f>+DX181*1000000</f>
        <v>2572863225.999999</v>
      </c>
      <c r="DZ181" s="870">
        <f>+DY181-D181</f>
        <v>0</v>
      </c>
      <c r="EA181" s="873">
        <f>VLOOKUP(POA!$B181,'Detalle Plan de Adquisiciones'!$G$6:$AF$66,23,0)</f>
        <v>43444</v>
      </c>
      <c r="EB181" s="859">
        <f>VLOOKUP(POA!$B181,'Detalle Plan de Adquisiciones'!$G$6:$AF$66,25,0)</f>
        <v>43687</v>
      </c>
      <c r="EC181" s="859">
        <f>EB181+30</f>
        <v>43717</v>
      </c>
      <c r="ED181" s="859" t="str">
        <f>CONCATENATE(MONTH(EA181),"-",YEAR(EA181))</f>
        <v>12-2018</v>
      </c>
      <c r="EE181" s="859" t="str">
        <f>CONCATENATE(MONTH(EB181),"-",YEAR(EB181))</f>
        <v>8-2019</v>
      </c>
      <c r="EF181" s="861" t="str">
        <f>CONCATENATE(MONTH(EC181),"-",YEAR(EC181))</f>
        <v>9-2019</v>
      </c>
      <c r="EG181" s="1105">
        <f>+YEAR(EA181)</f>
        <v>2018</v>
      </c>
      <c r="EI181" s="858">
        <f>+DW181+DW182+DW183</f>
        <v>2572.863225999999</v>
      </c>
      <c r="EJ181" s="877">
        <f>+D181/1000000-EI181</f>
        <v>0</v>
      </c>
      <c r="ER181" s="497"/>
    </row>
    <row r="182" spans="1:148" s="278" customFormat="1" outlineLevel="2" x14ac:dyDescent="0.2">
      <c r="A182" s="938"/>
      <c r="B182" s="944"/>
      <c r="C182" s="955"/>
      <c r="D182" s="958"/>
      <c r="E182" s="867"/>
      <c r="F182" s="311" t="s">
        <v>210</v>
      </c>
      <c r="G182" s="363">
        <v>0</v>
      </c>
      <c r="H182" s="363">
        <v>0</v>
      </c>
      <c r="I182" s="363">
        <v>0</v>
      </c>
      <c r="J182" s="363">
        <v>0</v>
      </c>
      <c r="K182" s="363">
        <v>0</v>
      </c>
      <c r="L182" s="363">
        <v>0</v>
      </c>
      <c r="M182" s="363">
        <v>0</v>
      </c>
      <c r="N182" s="363">
        <v>0</v>
      </c>
      <c r="O182" s="363">
        <v>0</v>
      </c>
      <c r="P182" s="363">
        <v>0</v>
      </c>
      <c r="Q182" s="363">
        <v>0</v>
      </c>
      <c r="R182" s="363">
        <v>0</v>
      </c>
      <c r="S182" s="363">
        <v>0</v>
      </c>
      <c r="T182" s="363">
        <v>0</v>
      </c>
      <c r="U182" s="363">
        <v>0</v>
      </c>
      <c r="V182" s="363">
        <v>0</v>
      </c>
      <c r="W182" s="363">
        <v>0</v>
      </c>
      <c r="X182" s="363">
        <v>0</v>
      </c>
      <c r="Y182" s="363">
        <v>0</v>
      </c>
      <c r="Z182" s="363">
        <v>0</v>
      </c>
      <c r="AA182" s="363">
        <v>0</v>
      </c>
      <c r="AB182" s="363">
        <v>0</v>
      </c>
      <c r="AC182" s="363">
        <v>0</v>
      </c>
      <c r="AD182" s="363">
        <v>0</v>
      </c>
      <c r="AE182" s="363">
        <v>0</v>
      </c>
      <c r="AF182" s="363">
        <v>0</v>
      </c>
      <c r="AG182" s="363">
        <v>0</v>
      </c>
      <c r="AH182" s="363">
        <v>0</v>
      </c>
      <c r="AI182" s="363">
        <v>0</v>
      </c>
      <c r="AJ182" s="363">
        <v>0</v>
      </c>
      <c r="AK182" s="363">
        <v>0</v>
      </c>
      <c r="AL182" s="363">
        <v>0</v>
      </c>
      <c r="AM182" s="363">
        <v>0</v>
      </c>
      <c r="AN182" s="363">
        <v>0</v>
      </c>
      <c r="AO182" s="363">
        <v>0</v>
      </c>
      <c r="AP182" s="363">
        <v>0</v>
      </c>
      <c r="AQ182" s="363">
        <v>0</v>
      </c>
      <c r="AR182" s="363">
        <v>0</v>
      </c>
      <c r="AS182" s="363">
        <v>0</v>
      </c>
      <c r="AT182" s="363">
        <v>0</v>
      </c>
      <c r="AU182" s="363">
        <v>0</v>
      </c>
      <c r="AV182" s="363">
        <v>0</v>
      </c>
      <c r="AW182" s="363">
        <v>0</v>
      </c>
      <c r="AX182" s="363">
        <v>0</v>
      </c>
      <c r="AY182" s="363">
        <v>0</v>
      </c>
      <c r="AZ182" s="363">
        <v>0</v>
      </c>
      <c r="BA182" s="363">
        <v>0</v>
      </c>
      <c r="BB182" s="363">
        <v>0</v>
      </c>
      <c r="BC182" s="363">
        <v>0</v>
      </c>
      <c r="BD182" s="363">
        <v>0</v>
      </c>
      <c r="BE182" s="363">
        <v>0</v>
      </c>
      <c r="BF182" s="363">
        <v>0</v>
      </c>
      <c r="BG182" s="363">
        <v>0</v>
      </c>
      <c r="BH182" s="363">
        <v>0</v>
      </c>
      <c r="BI182" s="363">
        <v>0</v>
      </c>
      <c r="BJ182" s="363">
        <v>0</v>
      </c>
      <c r="BK182" s="363">
        <v>0</v>
      </c>
      <c r="BL182" s="363">
        <v>0</v>
      </c>
      <c r="BM182" s="363">
        <v>0</v>
      </c>
      <c r="BN182" s="363">
        <v>0</v>
      </c>
      <c r="BO182" s="363">
        <v>0</v>
      </c>
      <c r="BP182" s="363">
        <v>0</v>
      </c>
      <c r="BQ182" s="363">
        <v>0</v>
      </c>
      <c r="BR182" s="363">
        <v>0</v>
      </c>
      <c r="BS182" s="363">
        <v>0</v>
      </c>
      <c r="BT182" s="363">
        <v>0</v>
      </c>
      <c r="BU182" s="363">
        <v>0</v>
      </c>
      <c r="BV182" s="363">
        <v>0</v>
      </c>
      <c r="BW182" s="363">
        <v>0</v>
      </c>
      <c r="BX182" s="363">
        <v>0</v>
      </c>
      <c r="BY182" s="363">
        <v>0</v>
      </c>
      <c r="BZ182" s="363">
        <v>0</v>
      </c>
      <c r="CA182" s="363">
        <v>0</v>
      </c>
      <c r="CB182" s="363">
        <v>0</v>
      </c>
      <c r="CC182" s="363">
        <v>0</v>
      </c>
      <c r="CD182" s="363">
        <v>0</v>
      </c>
      <c r="CE182" s="363">
        <v>0</v>
      </c>
      <c r="CF182" s="363">
        <v>0</v>
      </c>
      <c r="CG182" s="363">
        <v>0</v>
      </c>
      <c r="CH182" s="363">
        <v>0</v>
      </c>
      <c r="CI182" s="363">
        <v>0</v>
      </c>
      <c r="CJ182" s="363">
        <v>0</v>
      </c>
      <c r="CK182" s="363">
        <v>0</v>
      </c>
      <c r="CL182" s="363">
        <v>0</v>
      </c>
      <c r="CM182" s="363">
        <v>0</v>
      </c>
      <c r="CN182" s="363">
        <v>0</v>
      </c>
      <c r="CO182" s="363">
        <v>0</v>
      </c>
      <c r="CP182" s="363">
        <v>0</v>
      </c>
      <c r="CQ182" s="363">
        <v>0</v>
      </c>
      <c r="CR182" s="363">
        <v>0</v>
      </c>
      <c r="CS182" s="363">
        <v>0</v>
      </c>
      <c r="CT182" s="363">
        <v>0</v>
      </c>
      <c r="CU182" s="363">
        <v>0</v>
      </c>
      <c r="CV182" s="363">
        <v>0</v>
      </c>
      <c r="CW182" s="363">
        <v>0</v>
      </c>
      <c r="CX182" s="363">
        <v>0</v>
      </c>
      <c r="CY182" s="363"/>
      <c r="CZ182" s="363"/>
      <c r="DA182" s="363"/>
      <c r="DB182" s="363"/>
      <c r="DC182" s="363"/>
      <c r="DD182" s="363"/>
      <c r="DE182" s="363"/>
      <c r="DF182" s="363"/>
      <c r="DG182" s="363"/>
      <c r="DH182" s="363"/>
      <c r="DI182" s="363"/>
      <c r="DJ182" s="363"/>
      <c r="DK182" s="363">
        <v>0</v>
      </c>
      <c r="DL182" s="363"/>
      <c r="DM182" s="363"/>
      <c r="DN182" s="363"/>
      <c r="DO182" s="363">
        <v>0</v>
      </c>
      <c r="DP182" s="363">
        <v>0</v>
      </c>
      <c r="DQ182" s="363">
        <v>0</v>
      </c>
      <c r="DR182" s="363">
        <v>0</v>
      </c>
      <c r="DS182" s="363">
        <v>0</v>
      </c>
      <c r="DT182" s="363">
        <v>0</v>
      </c>
      <c r="DU182" s="363">
        <v>0</v>
      </c>
      <c r="DV182" s="363">
        <v>0</v>
      </c>
      <c r="DW182" s="544">
        <f t="shared" si="23"/>
        <v>0</v>
      </c>
      <c r="DX182" s="858"/>
      <c r="DY182" s="705"/>
      <c r="DZ182" s="871"/>
      <c r="EA182" s="873"/>
      <c r="EB182" s="859"/>
      <c r="EC182" s="859"/>
      <c r="ED182" s="859"/>
      <c r="EE182" s="859"/>
      <c r="EF182" s="861"/>
      <c r="EG182" s="1106"/>
      <c r="EI182" s="858"/>
      <c r="EJ182" s="877"/>
      <c r="ER182" s="497"/>
    </row>
    <row r="183" spans="1:148" s="278" customFormat="1" ht="23.25" customHeight="1" outlineLevel="2" thickBot="1" x14ac:dyDescent="0.25">
      <c r="A183" s="939"/>
      <c r="B183" s="964"/>
      <c r="C183" s="956"/>
      <c r="D183" s="959"/>
      <c r="E183" s="875"/>
      <c r="F183" s="313" t="s">
        <v>211</v>
      </c>
      <c r="G183" s="387">
        <v>0</v>
      </c>
      <c r="H183" s="387">
        <v>0</v>
      </c>
      <c r="I183" s="387">
        <v>0</v>
      </c>
      <c r="J183" s="387">
        <v>0</v>
      </c>
      <c r="K183" s="387">
        <v>0</v>
      </c>
      <c r="L183" s="387">
        <v>0</v>
      </c>
      <c r="M183" s="387">
        <v>0</v>
      </c>
      <c r="N183" s="387">
        <v>0</v>
      </c>
      <c r="O183" s="387">
        <v>0</v>
      </c>
      <c r="P183" s="387">
        <v>0</v>
      </c>
      <c r="Q183" s="387">
        <v>0</v>
      </c>
      <c r="R183" s="387">
        <v>0</v>
      </c>
      <c r="S183" s="387">
        <v>0</v>
      </c>
      <c r="T183" s="387">
        <v>0</v>
      </c>
      <c r="U183" s="387">
        <v>0</v>
      </c>
      <c r="V183" s="387">
        <v>0</v>
      </c>
      <c r="W183" s="387">
        <v>0</v>
      </c>
      <c r="X183" s="387">
        <v>0</v>
      </c>
      <c r="Y183" s="387">
        <v>0</v>
      </c>
      <c r="Z183" s="387">
        <v>0</v>
      </c>
      <c r="AA183" s="387">
        <v>0</v>
      </c>
      <c r="AB183" s="387">
        <v>0</v>
      </c>
      <c r="AC183" s="387">
        <v>0</v>
      </c>
      <c r="AD183" s="387">
        <v>0</v>
      </c>
      <c r="AE183" s="387">
        <v>0</v>
      </c>
      <c r="AF183" s="387">
        <v>0</v>
      </c>
      <c r="AG183" s="387">
        <v>0</v>
      </c>
      <c r="AH183" s="387">
        <v>0</v>
      </c>
      <c r="AI183" s="387">
        <v>0</v>
      </c>
      <c r="AJ183" s="387">
        <v>0</v>
      </c>
      <c r="AK183" s="387">
        <v>0</v>
      </c>
      <c r="AL183" s="387">
        <v>0</v>
      </c>
      <c r="AM183" s="387">
        <v>0</v>
      </c>
      <c r="AN183" s="387">
        <v>0</v>
      </c>
      <c r="AO183" s="387">
        <v>0</v>
      </c>
      <c r="AP183" s="387">
        <v>0</v>
      </c>
      <c r="AQ183" s="387">
        <v>0</v>
      </c>
      <c r="AR183" s="387">
        <v>0</v>
      </c>
      <c r="AS183" s="387">
        <v>0</v>
      </c>
      <c r="AT183" s="387">
        <v>0</v>
      </c>
      <c r="AU183" s="387">
        <v>0</v>
      </c>
      <c r="AV183" s="387">
        <v>0</v>
      </c>
      <c r="AW183" s="387">
        <v>0</v>
      </c>
      <c r="AX183" s="387">
        <v>0</v>
      </c>
      <c r="AY183" s="387">
        <v>0</v>
      </c>
      <c r="AZ183" s="387">
        <v>0</v>
      </c>
      <c r="BA183" s="387">
        <v>0</v>
      </c>
      <c r="BB183" s="387">
        <v>0</v>
      </c>
      <c r="BC183" s="387">
        <v>0</v>
      </c>
      <c r="BD183" s="387">
        <v>0</v>
      </c>
      <c r="BE183" s="387">
        <v>0</v>
      </c>
      <c r="BF183" s="387">
        <v>0</v>
      </c>
      <c r="BG183" s="387">
        <v>0</v>
      </c>
      <c r="BH183" s="387">
        <v>0</v>
      </c>
      <c r="BI183" s="387">
        <v>0</v>
      </c>
      <c r="BJ183" s="387">
        <v>0</v>
      </c>
      <c r="BK183" s="387">
        <v>0</v>
      </c>
      <c r="BL183" s="387">
        <v>0</v>
      </c>
      <c r="BM183" s="387">
        <v>0</v>
      </c>
      <c r="BN183" s="387">
        <v>0</v>
      </c>
      <c r="BO183" s="387">
        <v>0</v>
      </c>
      <c r="BP183" s="387">
        <v>0</v>
      </c>
      <c r="BQ183" s="387">
        <v>0</v>
      </c>
      <c r="BR183" s="387">
        <v>0</v>
      </c>
      <c r="BS183" s="387">
        <v>0</v>
      </c>
      <c r="BT183" s="387">
        <v>0</v>
      </c>
      <c r="BU183" s="387">
        <v>0</v>
      </c>
      <c r="BV183" s="387">
        <v>0</v>
      </c>
      <c r="BW183" s="387">
        <v>0</v>
      </c>
      <c r="BX183" s="387">
        <v>0</v>
      </c>
      <c r="BY183" s="387">
        <v>0</v>
      </c>
      <c r="BZ183" s="387">
        <v>0</v>
      </c>
      <c r="CA183" s="387">
        <v>0</v>
      </c>
      <c r="CB183" s="387">
        <v>0</v>
      </c>
      <c r="CC183" s="387">
        <v>0</v>
      </c>
      <c r="CD183" s="387">
        <v>0</v>
      </c>
      <c r="CE183" s="387">
        <v>0</v>
      </c>
      <c r="CF183" s="387">
        <v>0</v>
      </c>
      <c r="CG183" s="387">
        <v>0</v>
      </c>
      <c r="CH183" s="387">
        <v>0</v>
      </c>
      <c r="CI183" s="387">
        <v>0</v>
      </c>
      <c r="CJ183" s="387">
        <v>0</v>
      </c>
      <c r="CK183" s="387">
        <v>0</v>
      </c>
      <c r="CL183" s="387">
        <v>0</v>
      </c>
      <c r="CM183" s="387">
        <v>0</v>
      </c>
      <c r="CN183" s="387">
        <v>0</v>
      </c>
      <c r="CO183" s="387">
        <v>0</v>
      </c>
      <c r="CP183" s="387">
        <v>0</v>
      </c>
      <c r="CQ183" s="387">
        <v>0</v>
      </c>
      <c r="CR183" s="387">
        <v>0</v>
      </c>
      <c r="CS183" s="387">
        <v>0</v>
      </c>
      <c r="CT183" s="387">
        <v>0</v>
      </c>
      <c r="CU183" s="387">
        <v>0</v>
      </c>
      <c r="CV183" s="387">
        <v>0</v>
      </c>
      <c r="CW183" s="387">
        <v>0</v>
      </c>
      <c r="CX183" s="387">
        <v>0</v>
      </c>
      <c r="CY183" s="387"/>
      <c r="CZ183" s="670"/>
      <c r="DA183" s="670"/>
      <c r="DB183" s="670"/>
      <c r="DC183" s="670"/>
      <c r="DD183" s="670"/>
      <c r="DE183" s="670"/>
      <c r="DF183" s="670"/>
      <c r="DG183" s="670"/>
      <c r="DH183" s="670"/>
      <c r="DI183" s="670"/>
      <c r="DJ183" s="670"/>
      <c r="DK183" s="670"/>
      <c r="DL183" s="670"/>
      <c r="DM183" s="752"/>
      <c r="DN183" s="670"/>
      <c r="DO183" s="670"/>
      <c r="DP183" s="387">
        <v>0</v>
      </c>
      <c r="DQ183" s="387">
        <v>0</v>
      </c>
      <c r="DR183" s="387">
        <v>0</v>
      </c>
      <c r="DS183" s="387">
        <v>0</v>
      </c>
      <c r="DT183" s="387">
        <v>0</v>
      </c>
      <c r="DU183" s="387">
        <v>0</v>
      </c>
      <c r="DV183" s="387">
        <v>0</v>
      </c>
      <c r="DW183" s="545">
        <f t="shared" si="23"/>
        <v>0</v>
      </c>
      <c r="DX183" s="858"/>
      <c r="DY183" s="706"/>
      <c r="DZ183" s="872"/>
      <c r="EA183" s="873"/>
      <c r="EB183" s="859"/>
      <c r="EC183" s="859"/>
      <c r="ED183" s="859"/>
      <c r="EE183" s="859"/>
      <c r="EF183" s="861"/>
      <c r="EG183" s="1107"/>
      <c r="EI183" s="858"/>
      <c r="EJ183" s="877"/>
      <c r="ER183" s="497"/>
    </row>
    <row r="184" spans="1:148" s="278" customFormat="1" ht="24" outlineLevel="2" x14ac:dyDescent="0.2">
      <c r="A184" s="991" t="s">
        <v>387</v>
      </c>
      <c r="B184" s="943" t="s">
        <v>188</v>
      </c>
      <c r="C184" s="987">
        <v>8</v>
      </c>
      <c r="D184" s="946">
        <f>+IFERROR(VLOOKUP(B184,'Detalle Plan de Adquisiciones'!$G$6:$M$66,7,FALSE),0)</f>
        <v>0</v>
      </c>
      <c r="E184" s="889" t="str">
        <f>+'Detalle Plan de Adquisiciones'!F49</f>
        <v>PUNTO DE CENTRALIZACIÓN BARRIO MOCARÍ</v>
      </c>
      <c r="F184" s="316" t="s">
        <v>410</v>
      </c>
      <c r="G184" s="383">
        <v>0</v>
      </c>
      <c r="H184" s="383">
        <v>0</v>
      </c>
      <c r="I184" s="383">
        <v>0</v>
      </c>
      <c r="J184" s="383">
        <v>0</v>
      </c>
      <c r="K184" s="383">
        <v>0</v>
      </c>
      <c r="L184" s="383">
        <v>0</v>
      </c>
      <c r="M184" s="383">
        <v>0</v>
      </c>
      <c r="N184" s="383">
        <v>0</v>
      </c>
      <c r="O184" s="383">
        <v>0</v>
      </c>
      <c r="P184" s="383">
        <v>0</v>
      </c>
      <c r="Q184" s="383">
        <v>0</v>
      </c>
      <c r="R184" s="383">
        <v>0</v>
      </c>
      <c r="S184" s="383">
        <v>0</v>
      </c>
      <c r="T184" s="383">
        <v>0</v>
      </c>
      <c r="U184" s="383">
        <v>0</v>
      </c>
      <c r="V184" s="383">
        <v>0</v>
      </c>
      <c r="W184" s="383">
        <v>0</v>
      </c>
      <c r="X184" s="383">
        <v>0</v>
      </c>
      <c r="Y184" s="383">
        <v>0</v>
      </c>
      <c r="Z184" s="383">
        <v>0</v>
      </c>
      <c r="AA184" s="383">
        <v>0</v>
      </c>
      <c r="AB184" s="383">
        <v>0</v>
      </c>
      <c r="AC184" s="383">
        <v>0</v>
      </c>
      <c r="AD184" s="383">
        <v>0</v>
      </c>
      <c r="AE184" s="383">
        <v>0</v>
      </c>
      <c r="AF184" s="383">
        <v>0</v>
      </c>
      <c r="AG184" s="383">
        <v>0</v>
      </c>
      <c r="AH184" s="383">
        <v>0</v>
      </c>
      <c r="AI184" s="383">
        <v>0</v>
      </c>
      <c r="AJ184" s="383">
        <v>0</v>
      </c>
      <c r="AK184" s="383">
        <v>0</v>
      </c>
      <c r="AL184" s="383">
        <v>0</v>
      </c>
      <c r="AM184" s="383">
        <v>0</v>
      </c>
      <c r="AN184" s="383">
        <v>0</v>
      </c>
      <c r="AO184" s="383">
        <v>0</v>
      </c>
      <c r="AP184" s="383">
        <v>0</v>
      </c>
      <c r="AQ184" s="383">
        <v>0</v>
      </c>
      <c r="AR184" s="383">
        <v>0</v>
      </c>
      <c r="AS184" s="383">
        <v>0</v>
      </c>
      <c r="AT184" s="383">
        <v>0</v>
      </c>
      <c r="AU184" s="383">
        <v>0</v>
      </c>
      <c r="AV184" s="383">
        <v>0</v>
      </c>
      <c r="AW184" s="383">
        <v>0</v>
      </c>
      <c r="AX184" s="383">
        <v>0</v>
      </c>
      <c r="AY184" s="383">
        <v>0</v>
      </c>
      <c r="AZ184" s="383">
        <v>0</v>
      </c>
      <c r="BA184" s="383">
        <v>0</v>
      </c>
      <c r="BB184" s="383">
        <v>0</v>
      </c>
      <c r="BC184" s="383">
        <v>0</v>
      </c>
      <c r="BD184" s="383">
        <v>0</v>
      </c>
      <c r="BE184" s="383">
        <v>0</v>
      </c>
      <c r="BF184" s="383">
        <v>0</v>
      </c>
      <c r="BG184" s="383">
        <v>0</v>
      </c>
      <c r="BH184" s="383">
        <v>0</v>
      </c>
      <c r="BI184" s="383">
        <v>0</v>
      </c>
      <c r="BJ184" s="383">
        <v>0</v>
      </c>
      <c r="BK184" s="383">
        <v>0</v>
      </c>
      <c r="BL184" s="383">
        <v>0</v>
      </c>
      <c r="BM184" s="383">
        <v>0</v>
      </c>
      <c r="BN184" s="383">
        <v>0</v>
      </c>
      <c r="BO184" s="383">
        <v>0</v>
      </c>
      <c r="BP184" s="383">
        <v>0</v>
      </c>
      <c r="BQ184" s="383">
        <v>0</v>
      </c>
      <c r="BR184" s="383">
        <v>0</v>
      </c>
      <c r="BS184" s="383">
        <v>0</v>
      </c>
      <c r="BT184" s="383">
        <v>0</v>
      </c>
      <c r="BU184" s="383">
        <v>0</v>
      </c>
      <c r="BV184" s="383">
        <v>0</v>
      </c>
      <c r="BW184" s="383">
        <v>0</v>
      </c>
      <c r="BX184" s="383">
        <v>0</v>
      </c>
      <c r="BY184" s="383">
        <v>0</v>
      </c>
      <c r="BZ184" s="383">
        <v>0</v>
      </c>
      <c r="CA184" s="383">
        <v>0</v>
      </c>
      <c r="CB184" s="383">
        <v>0</v>
      </c>
      <c r="CC184" s="383">
        <v>0</v>
      </c>
      <c r="CD184" s="383">
        <v>0</v>
      </c>
      <c r="CE184" s="383">
        <v>0</v>
      </c>
      <c r="CF184" s="383">
        <v>0</v>
      </c>
      <c r="CG184" s="383">
        <v>0</v>
      </c>
      <c r="CH184" s="383">
        <v>0</v>
      </c>
      <c r="CI184" s="383">
        <v>0</v>
      </c>
      <c r="CJ184" s="383">
        <v>0</v>
      </c>
      <c r="CK184" s="383">
        <v>0</v>
      </c>
      <c r="CL184" s="383">
        <v>0</v>
      </c>
      <c r="CM184" s="383">
        <v>0</v>
      </c>
      <c r="CN184" s="383">
        <v>0</v>
      </c>
      <c r="CO184" s="383">
        <v>0</v>
      </c>
      <c r="CP184" s="383">
        <v>0</v>
      </c>
      <c r="CQ184" s="383">
        <v>0</v>
      </c>
      <c r="CR184" s="383">
        <v>0</v>
      </c>
      <c r="CS184" s="383">
        <v>0</v>
      </c>
      <c r="CT184" s="383">
        <v>0</v>
      </c>
      <c r="CU184" s="383">
        <v>0</v>
      </c>
      <c r="CV184" s="383">
        <v>0</v>
      </c>
      <c r="CW184" s="383">
        <v>0</v>
      </c>
      <c r="CX184" s="383">
        <v>0</v>
      </c>
      <c r="CY184" s="383"/>
      <c r="CZ184" s="383"/>
      <c r="DA184" s="383"/>
      <c r="DB184" s="383"/>
      <c r="DC184" s="383"/>
      <c r="DD184" s="383"/>
      <c r="DE184" s="383"/>
      <c r="DF184" s="383"/>
      <c r="DG184" s="383"/>
      <c r="DH184" s="383"/>
      <c r="DI184" s="383"/>
      <c r="DJ184" s="383"/>
      <c r="DK184" s="383"/>
      <c r="DL184" s="383"/>
      <c r="DM184" s="383">
        <v>0</v>
      </c>
      <c r="DN184" s="383">
        <v>0</v>
      </c>
      <c r="DO184" s="383">
        <v>0</v>
      </c>
      <c r="DP184" s="383">
        <v>0</v>
      </c>
      <c r="DQ184" s="383">
        <v>0</v>
      </c>
      <c r="DR184" s="383">
        <v>0</v>
      </c>
      <c r="DS184" s="383">
        <v>0</v>
      </c>
      <c r="DT184" s="383">
        <v>0</v>
      </c>
      <c r="DU184" s="383">
        <v>0</v>
      </c>
      <c r="DV184" s="383">
        <v>0</v>
      </c>
      <c r="DW184" s="556">
        <f t="shared" si="23"/>
        <v>0</v>
      </c>
      <c r="DX184" s="858">
        <f>DW184+DW185+DW186</f>
        <v>0</v>
      </c>
      <c r="DY184" s="704">
        <f>+DX184*1000000</f>
        <v>0</v>
      </c>
      <c r="DZ184" s="870">
        <f>+DY184-D184</f>
        <v>0</v>
      </c>
      <c r="EA184" s="873" t="str">
        <f>VLOOKUP(POA!$B184,'Detalle Plan de Adquisiciones'!$G$6:$AF$66,23,0)</f>
        <v>N/A</v>
      </c>
      <c r="EB184" s="859" t="str">
        <f>VLOOKUP(POA!$B184,'Detalle Plan de Adquisiciones'!$G$6:$AF$66,25,0)</f>
        <v>N/A</v>
      </c>
      <c r="EC184" s="859" t="e">
        <f>EB184+30</f>
        <v>#VALUE!</v>
      </c>
      <c r="ED184" s="859" t="e">
        <f>CONCATENATE(MONTH(EA184),"-",YEAR(EA184))</f>
        <v>#VALUE!</v>
      </c>
      <c r="EE184" s="859" t="e">
        <f>CONCATENATE(MONTH(EB184),"-",YEAR(EB184))</f>
        <v>#VALUE!</v>
      </c>
      <c r="EF184" s="861" t="e">
        <f>CONCATENATE(MONTH(EC184),"-",YEAR(EC184))</f>
        <v>#VALUE!</v>
      </c>
      <c r="EG184" s="1105" t="e">
        <f>+YEAR(EA184)</f>
        <v>#VALUE!</v>
      </c>
      <c r="EI184" s="858">
        <f>+DW184+DW185+DW186</f>
        <v>0</v>
      </c>
      <c r="EJ184" s="877">
        <f>+D184/1000000-EI184</f>
        <v>0</v>
      </c>
      <c r="ER184" s="497"/>
    </row>
    <row r="185" spans="1:148" s="278" customFormat="1" outlineLevel="2" x14ac:dyDescent="0.2">
      <c r="A185" s="938"/>
      <c r="B185" s="944"/>
      <c r="C185" s="955"/>
      <c r="D185" s="947"/>
      <c r="E185" s="867"/>
      <c r="F185" s="311" t="s">
        <v>210</v>
      </c>
      <c r="G185" s="363">
        <v>0</v>
      </c>
      <c r="H185" s="363">
        <v>0</v>
      </c>
      <c r="I185" s="363">
        <v>0</v>
      </c>
      <c r="J185" s="363">
        <v>0</v>
      </c>
      <c r="K185" s="363">
        <v>0</v>
      </c>
      <c r="L185" s="363">
        <v>0</v>
      </c>
      <c r="M185" s="363">
        <v>0</v>
      </c>
      <c r="N185" s="363">
        <v>0</v>
      </c>
      <c r="O185" s="363">
        <v>0</v>
      </c>
      <c r="P185" s="363">
        <v>0</v>
      </c>
      <c r="Q185" s="363">
        <v>0</v>
      </c>
      <c r="R185" s="363">
        <v>0</v>
      </c>
      <c r="S185" s="363">
        <v>0</v>
      </c>
      <c r="T185" s="363">
        <v>0</v>
      </c>
      <c r="U185" s="363">
        <v>0</v>
      </c>
      <c r="V185" s="363">
        <v>0</v>
      </c>
      <c r="W185" s="363">
        <v>0</v>
      </c>
      <c r="X185" s="363">
        <v>0</v>
      </c>
      <c r="Y185" s="363">
        <v>0</v>
      </c>
      <c r="Z185" s="363">
        <v>0</v>
      </c>
      <c r="AA185" s="363">
        <v>0</v>
      </c>
      <c r="AB185" s="363">
        <v>0</v>
      </c>
      <c r="AC185" s="363">
        <v>0</v>
      </c>
      <c r="AD185" s="363">
        <v>0</v>
      </c>
      <c r="AE185" s="363">
        <v>0</v>
      </c>
      <c r="AF185" s="363">
        <v>0</v>
      </c>
      <c r="AG185" s="363">
        <v>0</v>
      </c>
      <c r="AH185" s="363">
        <v>0</v>
      </c>
      <c r="AI185" s="363">
        <v>0</v>
      </c>
      <c r="AJ185" s="363">
        <v>0</v>
      </c>
      <c r="AK185" s="363">
        <v>0</v>
      </c>
      <c r="AL185" s="363">
        <v>0</v>
      </c>
      <c r="AM185" s="363">
        <v>0</v>
      </c>
      <c r="AN185" s="363">
        <v>0</v>
      </c>
      <c r="AO185" s="363">
        <v>0</v>
      </c>
      <c r="AP185" s="363">
        <v>0</v>
      </c>
      <c r="AQ185" s="363">
        <v>0</v>
      </c>
      <c r="AR185" s="363">
        <v>0</v>
      </c>
      <c r="AS185" s="363">
        <v>0</v>
      </c>
      <c r="AT185" s="363">
        <v>0</v>
      </c>
      <c r="AU185" s="363">
        <v>0</v>
      </c>
      <c r="AV185" s="363">
        <v>0</v>
      </c>
      <c r="AW185" s="363">
        <v>0</v>
      </c>
      <c r="AX185" s="363">
        <v>0</v>
      </c>
      <c r="AY185" s="363">
        <v>0</v>
      </c>
      <c r="AZ185" s="363">
        <v>0</v>
      </c>
      <c r="BA185" s="363">
        <v>0</v>
      </c>
      <c r="BB185" s="363">
        <v>0</v>
      </c>
      <c r="BC185" s="363">
        <v>0</v>
      </c>
      <c r="BD185" s="363">
        <v>0</v>
      </c>
      <c r="BE185" s="363">
        <v>0</v>
      </c>
      <c r="BF185" s="363">
        <v>0</v>
      </c>
      <c r="BG185" s="363">
        <v>0</v>
      </c>
      <c r="BH185" s="363">
        <v>0</v>
      </c>
      <c r="BI185" s="363">
        <v>0</v>
      </c>
      <c r="BJ185" s="363">
        <v>0</v>
      </c>
      <c r="BK185" s="363">
        <v>0</v>
      </c>
      <c r="BL185" s="363">
        <v>0</v>
      </c>
      <c r="BM185" s="363">
        <v>0</v>
      </c>
      <c r="BN185" s="363">
        <v>0</v>
      </c>
      <c r="BO185" s="363">
        <v>0</v>
      </c>
      <c r="BP185" s="363">
        <v>0</v>
      </c>
      <c r="BQ185" s="363">
        <v>0</v>
      </c>
      <c r="BR185" s="363">
        <v>0</v>
      </c>
      <c r="BS185" s="363">
        <v>0</v>
      </c>
      <c r="BT185" s="363">
        <v>0</v>
      </c>
      <c r="BU185" s="363">
        <v>0</v>
      </c>
      <c r="BV185" s="363">
        <v>0</v>
      </c>
      <c r="BW185" s="363">
        <v>0</v>
      </c>
      <c r="BX185" s="363">
        <v>0</v>
      </c>
      <c r="BY185" s="363">
        <v>0</v>
      </c>
      <c r="BZ185" s="363">
        <v>0</v>
      </c>
      <c r="CA185" s="363">
        <v>0</v>
      </c>
      <c r="CB185" s="363">
        <v>0</v>
      </c>
      <c r="CC185" s="363">
        <v>0</v>
      </c>
      <c r="CD185" s="363">
        <v>0</v>
      </c>
      <c r="CE185" s="363">
        <v>0</v>
      </c>
      <c r="CF185" s="363">
        <v>0</v>
      </c>
      <c r="CG185" s="363">
        <v>0</v>
      </c>
      <c r="CH185" s="363">
        <v>0</v>
      </c>
      <c r="CI185" s="363">
        <v>0</v>
      </c>
      <c r="CJ185" s="363">
        <v>0</v>
      </c>
      <c r="CK185" s="363">
        <v>0</v>
      </c>
      <c r="CL185" s="363">
        <v>0</v>
      </c>
      <c r="CM185" s="363">
        <v>0</v>
      </c>
      <c r="CN185" s="363">
        <v>0</v>
      </c>
      <c r="CO185" s="363">
        <v>0</v>
      </c>
      <c r="CP185" s="363">
        <v>0</v>
      </c>
      <c r="CQ185" s="363">
        <v>0</v>
      </c>
      <c r="CR185" s="363">
        <v>0</v>
      </c>
      <c r="CS185" s="363">
        <v>0</v>
      </c>
      <c r="CT185" s="363">
        <v>0</v>
      </c>
      <c r="CU185" s="363">
        <v>0</v>
      </c>
      <c r="CV185" s="363">
        <v>0</v>
      </c>
      <c r="CW185" s="363">
        <v>0</v>
      </c>
      <c r="CX185" s="363">
        <v>0</v>
      </c>
      <c r="CY185" s="363"/>
      <c r="CZ185" s="363"/>
      <c r="DA185" s="363"/>
      <c r="DB185" s="363"/>
      <c r="DC185" s="363"/>
      <c r="DD185" s="363"/>
      <c r="DE185" s="363"/>
      <c r="DF185" s="363"/>
      <c r="DG185" s="363"/>
      <c r="DH185" s="363"/>
      <c r="DI185" s="363"/>
      <c r="DJ185" s="363">
        <v>0</v>
      </c>
      <c r="DK185" s="363">
        <v>0</v>
      </c>
      <c r="DL185" s="363">
        <v>0</v>
      </c>
      <c r="DM185" s="363">
        <v>0</v>
      </c>
      <c r="DN185" s="363">
        <v>0</v>
      </c>
      <c r="DO185" s="363">
        <v>0</v>
      </c>
      <c r="DP185" s="363">
        <v>0</v>
      </c>
      <c r="DQ185" s="363">
        <v>0</v>
      </c>
      <c r="DR185" s="363">
        <v>0</v>
      </c>
      <c r="DS185" s="363">
        <v>0</v>
      </c>
      <c r="DT185" s="363">
        <v>0</v>
      </c>
      <c r="DU185" s="363">
        <v>0</v>
      </c>
      <c r="DV185" s="363">
        <v>0</v>
      </c>
      <c r="DW185" s="544">
        <f t="shared" si="23"/>
        <v>0</v>
      </c>
      <c r="DX185" s="858"/>
      <c r="DY185" s="705"/>
      <c r="DZ185" s="871"/>
      <c r="EA185" s="873"/>
      <c r="EB185" s="859"/>
      <c r="EC185" s="859"/>
      <c r="ED185" s="859"/>
      <c r="EE185" s="859"/>
      <c r="EF185" s="861"/>
      <c r="EG185" s="1106"/>
      <c r="EI185" s="858"/>
      <c r="EJ185" s="877"/>
      <c r="ER185" s="497"/>
    </row>
    <row r="186" spans="1:148" s="278" customFormat="1" ht="18.75" customHeight="1" outlineLevel="2" thickBot="1" x14ac:dyDescent="0.25">
      <c r="A186" s="992"/>
      <c r="B186" s="945"/>
      <c r="C186" s="1013"/>
      <c r="D186" s="948"/>
      <c r="E186" s="868"/>
      <c r="F186" s="315" t="s">
        <v>211</v>
      </c>
      <c r="G186" s="364">
        <v>0</v>
      </c>
      <c r="H186" s="364">
        <v>0</v>
      </c>
      <c r="I186" s="364">
        <v>0</v>
      </c>
      <c r="J186" s="364">
        <v>0</v>
      </c>
      <c r="K186" s="364">
        <v>0</v>
      </c>
      <c r="L186" s="364">
        <v>0</v>
      </c>
      <c r="M186" s="364">
        <v>0</v>
      </c>
      <c r="N186" s="364">
        <v>0</v>
      </c>
      <c r="O186" s="364">
        <v>0</v>
      </c>
      <c r="P186" s="364">
        <v>0</v>
      </c>
      <c r="Q186" s="364">
        <v>0</v>
      </c>
      <c r="R186" s="364">
        <v>0</v>
      </c>
      <c r="S186" s="364">
        <v>0</v>
      </c>
      <c r="T186" s="364">
        <v>0</v>
      </c>
      <c r="U186" s="364">
        <v>0</v>
      </c>
      <c r="V186" s="364">
        <v>0</v>
      </c>
      <c r="W186" s="364">
        <v>0</v>
      </c>
      <c r="X186" s="364">
        <v>0</v>
      </c>
      <c r="Y186" s="364">
        <v>0</v>
      </c>
      <c r="Z186" s="364">
        <v>0</v>
      </c>
      <c r="AA186" s="364">
        <v>0</v>
      </c>
      <c r="AB186" s="364">
        <v>0</v>
      </c>
      <c r="AC186" s="364">
        <v>0</v>
      </c>
      <c r="AD186" s="364">
        <v>0</v>
      </c>
      <c r="AE186" s="364">
        <v>0</v>
      </c>
      <c r="AF186" s="364">
        <v>0</v>
      </c>
      <c r="AG186" s="364">
        <v>0</v>
      </c>
      <c r="AH186" s="364">
        <v>0</v>
      </c>
      <c r="AI186" s="364">
        <v>0</v>
      </c>
      <c r="AJ186" s="364">
        <v>0</v>
      </c>
      <c r="AK186" s="364">
        <v>0</v>
      </c>
      <c r="AL186" s="364">
        <v>0</v>
      </c>
      <c r="AM186" s="364">
        <v>0</v>
      </c>
      <c r="AN186" s="364">
        <v>0</v>
      </c>
      <c r="AO186" s="364">
        <v>0</v>
      </c>
      <c r="AP186" s="364">
        <v>0</v>
      </c>
      <c r="AQ186" s="364">
        <v>0</v>
      </c>
      <c r="AR186" s="364">
        <v>0</v>
      </c>
      <c r="AS186" s="364">
        <v>0</v>
      </c>
      <c r="AT186" s="364">
        <v>0</v>
      </c>
      <c r="AU186" s="364">
        <v>0</v>
      </c>
      <c r="AV186" s="364">
        <v>0</v>
      </c>
      <c r="AW186" s="364">
        <v>0</v>
      </c>
      <c r="AX186" s="364">
        <v>0</v>
      </c>
      <c r="AY186" s="364">
        <v>0</v>
      </c>
      <c r="AZ186" s="364">
        <v>0</v>
      </c>
      <c r="BA186" s="364">
        <v>0</v>
      </c>
      <c r="BB186" s="364">
        <v>0</v>
      </c>
      <c r="BC186" s="364">
        <v>0</v>
      </c>
      <c r="BD186" s="364">
        <v>0</v>
      </c>
      <c r="BE186" s="364">
        <v>0</v>
      </c>
      <c r="BF186" s="364">
        <v>0</v>
      </c>
      <c r="BG186" s="364">
        <v>0</v>
      </c>
      <c r="BH186" s="364">
        <v>0</v>
      </c>
      <c r="BI186" s="364">
        <v>0</v>
      </c>
      <c r="BJ186" s="364">
        <v>0</v>
      </c>
      <c r="BK186" s="364">
        <v>0</v>
      </c>
      <c r="BL186" s="364">
        <v>0</v>
      </c>
      <c r="BM186" s="364">
        <v>0</v>
      </c>
      <c r="BN186" s="364">
        <v>0</v>
      </c>
      <c r="BO186" s="364">
        <v>0</v>
      </c>
      <c r="BP186" s="364">
        <v>0</v>
      </c>
      <c r="BQ186" s="364">
        <v>0</v>
      </c>
      <c r="BR186" s="364">
        <v>0</v>
      </c>
      <c r="BS186" s="364">
        <v>0</v>
      </c>
      <c r="BT186" s="364">
        <v>0</v>
      </c>
      <c r="BU186" s="364">
        <v>0</v>
      </c>
      <c r="BV186" s="364">
        <v>0</v>
      </c>
      <c r="BW186" s="364">
        <v>0</v>
      </c>
      <c r="BX186" s="364">
        <v>0</v>
      </c>
      <c r="BY186" s="364">
        <v>0</v>
      </c>
      <c r="BZ186" s="364">
        <v>0</v>
      </c>
      <c r="CA186" s="364">
        <v>0</v>
      </c>
      <c r="CB186" s="364">
        <v>0</v>
      </c>
      <c r="CC186" s="364">
        <v>0</v>
      </c>
      <c r="CD186" s="364">
        <v>0</v>
      </c>
      <c r="CE186" s="364">
        <v>0</v>
      </c>
      <c r="CF186" s="364">
        <v>0</v>
      </c>
      <c r="CG186" s="364">
        <v>0</v>
      </c>
      <c r="CH186" s="364">
        <v>0</v>
      </c>
      <c r="CI186" s="364">
        <v>0</v>
      </c>
      <c r="CJ186" s="364">
        <v>0</v>
      </c>
      <c r="CK186" s="364">
        <v>0</v>
      </c>
      <c r="CL186" s="364">
        <v>0</v>
      </c>
      <c r="CM186" s="364">
        <v>0</v>
      </c>
      <c r="CN186" s="364">
        <v>0</v>
      </c>
      <c r="CO186" s="364">
        <v>0</v>
      </c>
      <c r="CP186" s="364">
        <v>0</v>
      </c>
      <c r="CQ186" s="364">
        <v>0</v>
      </c>
      <c r="CR186" s="364">
        <v>0</v>
      </c>
      <c r="CS186" s="364">
        <v>0</v>
      </c>
      <c r="CT186" s="364">
        <v>0</v>
      </c>
      <c r="CU186" s="364">
        <v>0</v>
      </c>
      <c r="CV186" s="364">
        <v>0</v>
      </c>
      <c r="CW186" s="364">
        <v>0</v>
      </c>
      <c r="CX186" s="364">
        <v>0</v>
      </c>
      <c r="CY186" s="364"/>
      <c r="CZ186" s="364"/>
      <c r="DA186" s="364"/>
      <c r="DB186" s="364"/>
      <c r="DC186" s="383"/>
      <c r="DD186" s="383"/>
      <c r="DE186" s="383"/>
      <c r="DF186" s="383"/>
      <c r="DG186" s="383"/>
      <c r="DH186" s="383"/>
      <c r="DI186" s="383"/>
      <c r="DJ186" s="383"/>
      <c r="DK186" s="383"/>
      <c r="DL186" s="383">
        <v>0</v>
      </c>
      <c r="DM186" s="364">
        <v>0</v>
      </c>
      <c r="DN186" s="364">
        <v>0</v>
      </c>
      <c r="DO186" s="364">
        <v>0</v>
      </c>
      <c r="DP186" s="364">
        <v>0</v>
      </c>
      <c r="DQ186" s="364">
        <v>0</v>
      </c>
      <c r="DR186" s="364">
        <v>0</v>
      </c>
      <c r="DS186" s="364">
        <v>0</v>
      </c>
      <c r="DT186" s="364">
        <v>0</v>
      </c>
      <c r="DU186" s="364">
        <v>0</v>
      </c>
      <c r="DV186" s="364">
        <v>0</v>
      </c>
      <c r="DW186" s="649">
        <f t="shared" si="23"/>
        <v>0</v>
      </c>
      <c r="DX186" s="858"/>
      <c r="DY186" s="706"/>
      <c r="DZ186" s="872"/>
      <c r="EA186" s="873"/>
      <c r="EB186" s="859"/>
      <c r="EC186" s="859"/>
      <c r="ED186" s="859"/>
      <c r="EE186" s="859"/>
      <c r="EF186" s="861"/>
      <c r="EG186" s="1107"/>
      <c r="EI186" s="858"/>
      <c r="EJ186" s="877"/>
      <c r="ER186" s="497"/>
    </row>
    <row r="187" spans="1:148" s="278" customFormat="1" ht="24" outlineLevel="2" x14ac:dyDescent="0.2">
      <c r="A187" s="937" t="s">
        <v>395</v>
      </c>
      <c r="B187" s="963" t="s">
        <v>183</v>
      </c>
      <c r="C187" s="954">
        <f>+C172</f>
        <v>8</v>
      </c>
      <c r="D187" s="985">
        <f>+IFERROR(VLOOKUP(B187,'Detalle Plan de Adquisiciones'!$G$53:$L$153,6,FALSE),0)</f>
        <v>0</v>
      </c>
      <c r="E187" s="866" t="str">
        <f>+'Detalle Plan de Adquisiciones'!F132</f>
        <v>INTERVENTORÍA TÉCNICA, ADMINISTRATIVA, FINANCIERA Y AMBIENTAL AL CONTRATO CUYO OBJETO ES: PUNTO DE CENTRALIZACIÓN BARRIO CANTA CLARO</v>
      </c>
      <c r="F187" s="312" t="s">
        <v>410</v>
      </c>
      <c r="G187" s="354">
        <v>0</v>
      </c>
      <c r="H187" s="354">
        <v>0</v>
      </c>
      <c r="I187" s="354">
        <v>0</v>
      </c>
      <c r="J187" s="354">
        <v>0</v>
      </c>
      <c r="K187" s="354">
        <v>0</v>
      </c>
      <c r="L187" s="354">
        <v>0</v>
      </c>
      <c r="M187" s="354">
        <v>0</v>
      </c>
      <c r="N187" s="354">
        <v>0</v>
      </c>
      <c r="O187" s="354">
        <v>0</v>
      </c>
      <c r="P187" s="354">
        <v>0</v>
      </c>
      <c r="Q187" s="354">
        <v>0</v>
      </c>
      <c r="R187" s="354">
        <v>0</v>
      </c>
      <c r="S187" s="354">
        <v>0</v>
      </c>
      <c r="T187" s="354">
        <v>0</v>
      </c>
      <c r="U187" s="354">
        <v>0</v>
      </c>
      <c r="V187" s="354">
        <v>0</v>
      </c>
      <c r="W187" s="354">
        <v>0</v>
      </c>
      <c r="X187" s="354">
        <v>0</v>
      </c>
      <c r="Y187" s="354">
        <v>0</v>
      </c>
      <c r="Z187" s="354">
        <v>0</v>
      </c>
      <c r="AA187" s="354">
        <v>0</v>
      </c>
      <c r="AB187" s="354">
        <v>0</v>
      </c>
      <c r="AC187" s="354">
        <v>0</v>
      </c>
      <c r="AD187" s="354">
        <v>0</v>
      </c>
      <c r="AE187" s="354">
        <v>0</v>
      </c>
      <c r="AF187" s="354">
        <v>0</v>
      </c>
      <c r="AG187" s="354">
        <v>0</v>
      </c>
      <c r="AH187" s="354">
        <v>0</v>
      </c>
      <c r="AI187" s="354">
        <v>0</v>
      </c>
      <c r="AJ187" s="354">
        <v>0</v>
      </c>
      <c r="AK187" s="354">
        <v>0</v>
      </c>
      <c r="AL187" s="354">
        <v>0</v>
      </c>
      <c r="AM187" s="354">
        <v>0</v>
      </c>
      <c r="AN187" s="354">
        <v>0</v>
      </c>
      <c r="AO187" s="354">
        <v>0</v>
      </c>
      <c r="AP187" s="354">
        <v>0</v>
      </c>
      <c r="AQ187" s="354">
        <v>0</v>
      </c>
      <c r="AR187" s="354">
        <v>0</v>
      </c>
      <c r="AS187" s="354">
        <v>0</v>
      </c>
      <c r="AT187" s="354">
        <v>0</v>
      </c>
      <c r="AU187" s="354">
        <v>0</v>
      </c>
      <c r="AV187" s="354">
        <v>0</v>
      </c>
      <c r="AW187" s="354">
        <v>0</v>
      </c>
      <c r="AX187" s="354">
        <v>0</v>
      </c>
      <c r="AY187" s="354">
        <v>0</v>
      </c>
      <c r="AZ187" s="354">
        <v>0</v>
      </c>
      <c r="BA187" s="354">
        <v>0</v>
      </c>
      <c r="BB187" s="354">
        <v>0</v>
      </c>
      <c r="BC187" s="354">
        <v>0</v>
      </c>
      <c r="BD187" s="354">
        <v>0</v>
      </c>
      <c r="BE187" s="354">
        <v>0</v>
      </c>
      <c r="BF187" s="354">
        <v>0</v>
      </c>
      <c r="BG187" s="354">
        <v>0</v>
      </c>
      <c r="BH187" s="354">
        <v>0</v>
      </c>
      <c r="BI187" s="354">
        <v>0</v>
      </c>
      <c r="BJ187" s="354">
        <v>0</v>
      </c>
      <c r="BK187" s="354">
        <v>0</v>
      </c>
      <c r="BL187" s="354">
        <v>0</v>
      </c>
      <c r="BM187" s="354">
        <v>0</v>
      </c>
      <c r="BN187" s="354">
        <v>0</v>
      </c>
      <c r="BO187" s="354">
        <v>0</v>
      </c>
      <c r="BP187" s="354">
        <v>0</v>
      </c>
      <c r="BQ187" s="354">
        <v>0</v>
      </c>
      <c r="BR187" s="354">
        <v>0</v>
      </c>
      <c r="BS187" s="354">
        <v>0</v>
      </c>
      <c r="BT187" s="354">
        <v>0</v>
      </c>
      <c r="BU187" s="354">
        <v>0</v>
      </c>
      <c r="BV187" s="354">
        <v>0</v>
      </c>
      <c r="BW187" s="354">
        <v>0</v>
      </c>
      <c r="BX187" s="354">
        <v>0</v>
      </c>
      <c r="BY187" s="354">
        <v>0</v>
      </c>
      <c r="BZ187" s="354">
        <v>0</v>
      </c>
      <c r="CA187" s="354">
        <v>0</v>
      </c>
      <c r="CB187" s="354">
        <v>0</v>
      </c>
      <c r="CC187" s="354">
        <v>0</v>
      </c>
      <c r="CD187" s="354">
        <v>0</v>
      </c>
      <c r="CE187" s="354">
        <v>0</v>
      </c>
      <c r="CF187" s="354">
        <v>0</v>
      </c>
      <c r="CG187" s="354">
        <v>0</v>
      </c>
      <c r="CH187" s="354">
        <v>0</v>
      </c>
      <c r="CI187" s="354">
        <v>0</v>
      </c>
      <c r="CJ187" s="354">
        <v>0</v>
      </c>
      <c r="CK187" s="354">
        <v>0</v>
      </c>
      <c r="CL187" s="354">
        <v>0</v>
      </c>
      <c r="CM187" s="354">
        <v>0</v>
      </c>
      <c r="CN187" s="354">
        <v>0</v>
      </c>
      <c r="CO187" s="354">
        <v>0</v>
      </c>
      <c r="CP187" s="354">
        <v>0</v>
      </c>
      <c r="CQ187" s="354">
        <v>0</v>
      </c>
      <c r="CR187" s="354">
        <v>0</v>
      </c>
      <c r="CS187" s="354">
        <v>0</v>
      </c>
      <c r="CT187" s="354">
        <v>0</v>
      </c>
      <c r="CU187" s="354">
        <v>0</v>
      </c>
      <c r="CV187" s="354">
        <v>0</v>
      </c>
      <c r="CW187" s="354">
        <v>0</v>
      </c>
      <c r="CX187" s="354">
        <v>0</v>
      </c>
      <c r="CY187" s="354">
        <v>0</v>
      </c>
      <c r="CZ187" s="354">
        <v>0</v>
      </c>
      <c r="DA187" s="354">
        <v>0</v>
      </c>
      <c r="DB187" s="354">
        <v>0</v>
      </c>
      <c r="DC187" s="354">
        <v>0</v>
      </c>
      <c r="DD187" s="354">
        <v>0</v>
      </c>
      <c r="DE187" s="354">
        <v>0</v>
      </c>
      <c r="DF187" s="354">
        <v>0</v>
      </c>
      <c r="DG187" s="354">
        <v>0</v>
      </c>
      <c r="DH187" s="354">
        <v>0</v>
      </c>
      <c r="DI187" s="354">
        <v>0</v>
      </c>
      <c r="DJ187" s="354">
        <v>0</v>
      </c>
      <c r="DK187" s="354">
        <v>0</v>
      </c>
      <c r="DL187" s="354">
        <v>0</v>
      </c>
      <c r="DM187" s="354">
        <v>0</v>
      </c>
      <c r="DN187" s="354">
        <v>0</v>
      </c>
      <c r="DO187" s="354">
        <v>0</v>
      </c>
      <c r="DP187" s="354">
        <v>0</v>
      </c>
      <c r="DQ187" s="354">
        <v>0</v>
      </c>
      <c r="DR187" s="354">
        <v>0</v>
      </c>
      <c r="DS187" s="354">
        <v>0</v>
      </c>
      <c r="DT187" s="354">
        <v>0</v>
      </c>
      <c r="DU187" s="354">
        <v>0</v>
      </c>
      <c r="DV187" s="354">
        <v>0</v>
      </c>
      <c r="DW187" s="354">
        <f t="shared" si="23"/>
        <v>0</v>
      </c>
      <c r="DX187" s="918">
        <f>DW187+DW188+DW189</f>
        <v>0</v>
      </c>
      <c r="DY187" s="712">
        <f>+DX187*1000000</f>
        <v>0</v>
      </c>
      <c r="DZ187" s="921">
        <f>+DY187-D187</f>
        <v>0</v>
      </c>
      <c r="EA187" s="912" t="str">
        <f>VLOOKUP(POA!$B187,INTERPLAN,28,0)</f>
        <v>N/A</v>
      </c>
      <c r="EB187" s="912" t="e">
        <f>+EDATE(EA187,C187)</f>
        <v>#VALUE!</v>
      </c>
      <c r="EC187" s="912" t="e">
        <f>EB187+30</f>
        <v>#VALUE!</v>
      </c>
      <c r="ED187" s="912" t="e">
        <f>CONCATENATE(MONTH(EA187),"-",YEAR(EA187))</f>
        <v>#VALUE!</v>
      </c>
      <c r="EE187" s="912" t="e">
        <f>CONCATENATE(MONTH(EB187),"-",YEAR(EB187))</f>
        <v>#VALUE!</v>
      </c>
      <c r="EF187" s="912" t="e">
        <f>CONCATENATE(MONTH(EC187),"-",YEAR(EC187))</f>
        <v>#VALUE!</v>
      </c>
      <c r="EG187" s="1108"/>
      <c r="EI187" s="858">
        <f>+DW187+DW188+DW189</f>
        <v>0</v>
      </c>
      <c r="EJ187" s="877">
        <f>+D187/1000000-EI187</f>
        <v>0</v>
      </c>
      <c r="ER187" s="497"/>
    </row>
    <row r="188" spans="1:148" s="278" customFormat="1" outlineLevel="2" x14ac:dyDescent="0.2">
      <c r="A188" s="938"/>
      <c r="B188" s="944"/>
      <c r="C188" s="955"/>
      <c r="D188" s="947"/>
      <c r="E188" s="867"/>
      <c r="F188" s="311" t="s">
        <v>210</v>
      </c>
      <c r="G188" s="363">
        <v>0</v>
      </c>
      <c r="H188" s="363">
        <v>0</v>
      </c>
      <c r="I188" s="363">
        <v>0</v>
      </c>
      <c r="J188" s="363">
        <v>0</v>
      </c>
      <c r="K188" s="363">
        <v>0</v>
      </c>
      <c r="L188" s="363">
        <v>0</v>
      </c>
      <c r="M188" s="363">
        <v>0</v>
      </c>
      <c r="N188" s="363">
        <v>0</v>
      </c>
      <c r="O188" s="363">
        <v>0</v>
      </c>
      <c r="P188" s="363">
        <v>0</v>
      </c>
      <c r="Q188" s="363">
        <v>0</v>
      </c>
      <c r="R188" s="363">
        <v>0</v>
      </c>
      <c r="S188" s="363">
        <v>0</v>
      </c>
      <c r="T188" s="363">
        <v>0</v>
      </c>
      <c r="U188" s="363">
        <v>0</v>
      </c>
      <c r="V188" s="363">
        <v>0</v>
      </c>
      <c r="W188" s="363">
        <v>0</v>
      </c>
      <c r="X188" s="363">
        <v>0</v>
      </c>
      <c r="Y188" s="363">
        <v>0</v>
      </c>
      <c r="Z188" s="363">
        <v>0</v>
      </c>
      <c r="AA188" s="363">
        <v>0</v>
      </c>
      <c r="AB188" s="363">
        <v>0</v>
      </c>
      <c r="AC188" s="363">
        <v>0</v>
      </c>
      <c r="AD188" s="363">
        <v>0</v>
      </c>
      <c r="AE188" s="363">
        <v>0</v>
      </c>
      <c r="AF188" s="363">
        <v>0</v>
      </c>
      <c r="AG188" s="363">
        <v>0</v>
      </c>
      <c r="AH188" s="363">
        <v>0</v>
      </c>
      <c r="AI188" s="363">
        <v>0</v>
      </c>
      <c r="AJ188" s="363">
        <v>0</v>
      </c>
      <c r="AK188" s="363">
        <v>0</v>
      </c>
      <c r="AL188" s="363">
        <v>0</v>
      </c>
      <c r="AM188" s="363">
        <v>0</v>
      </c>
      <c r="AN188" s="363">
        <v>0</v>
      </c>
      <c r="AO188" s="363">
        <v>0</v>
      </c>
      <c r="AP188" s="363">
        <v>0</v>
      </c>
      <c r="AQ188" s="363">
        <v>0</v>
      </c>
      <c r="AR188" s="363">
        <v>0</v>
      </c>
      <c r="AS188" s="363">
        <v>0</v>
      </c>
      <c r="AT188" s="363">
        <v>0</v>
      </c>
      <c r="AU188" s="363">
        <v>0</v>
      </c>
      <c r="AV188" s="363">
        <v>0</v>
      </c>
      <c r="AW188" s="363">
        <v>0</v>
      </c>
      <c r="AX188" s="363">
        <v>0</v>
      </c>
      <c r="AY188" s="363">
        <v>0</v>
      </c>
      <c r="AZ188" s="363">
        <v>0</v>
      </c>
      <c r="BA188" s="363">
        <v>0</v>
      </c>
      <c r="BB188" s="363">
        <v>0</v>
      </c>
      <c r="BC188" s="363">
        <v>0</v>
      </c>
      <c r="BD188" s="363">
        <v>0</v>
      </c>
      <c r="BE188" s="363">
        <v>0</v>
      </c>
      <c r="BF188" s="363">
        <v>0</v>
      </c>
      <c r="BG188" s="363">
        <v>0</v>
      </c>
      <c r="BH188" s="363">
        <v>0</v>
      </c>
      <c r="BI188" s="363">
        <v>0</v>
      </c>
      <c r="BJ188" s="363">
        <v>0</v>
      </c>
      <c r="BK188" s="363">
        <v>0</v>
      </c>
      <c r="BL188" s="363">
        <v>0</v>
      </c>
      <c r="BM188" s="363">
        <v>0</v>
      </c>
      <c r="BN188" s="363">
        <v>0</v>
      </c>
      <c r="BO188" s="363">
        <v>0</v>
      </c>
      <c r="BP188" s="363">
        <v>0</v>
      </c>
      <c r="BQ188" s="363">
        <v>0</v>
      </c>
      <c r="BR188" s="363">
        <v>0</v>
      </c>
      <c r="BS188" s="363">
        <v>0</v>
      </c>
      <c r="BT188" s="363">
        <v>0</v>
      </c>
      <c r="BU188" s="363">
        <v>0</v>
      </c>
      <c r="BV188" s="363">
        <v>0</v>
      </c>
      <c r="BW188" s="363">
        <v>0</v>
      </c>
      <c r="BX188" s="363">
        <v>0</v>
      </c>
      <c r="BY188" s="363">
        <v>0</v>
      </c>
      <c r="BZ188" s="363">
        <v>0</v>
      </c>
      <c r="CA188" s="363">
        <v>0</v>
      </c>
      <c r="CB188" s="363">
        <v>0</v>
      </c>
      <c r="CC188" s="363">
        <v>0</v>
      </c>
      <c r="CD188" s="363">
        <v>0</v>
      </c>
      <c r="CE188" s="363">
        <v>0</v>
      </c>
      <c r="CF188" s="363">
        <v>0</v>
      </c>
      <c r="CG188" s="363">
        <v>0</v>
      </c>
      <c r="CH188" s="363">
        <v>0</v>
      </c>
      <c r="CI188" s="363">
        <v>0</v>
      </c>
      <c r="CJ188" s="363">
        <v>0</v>
      </c>
      <c r="CK188" s="363">
        <v>0</v>
      </c>
      <c r="CL188" s="363">
        <v>0</v>
      </c>
      <c r="CM188" s="363">
        <v>0</v>
      </c>
      <c r="CN188" s="363">
        <v>0</v>
      </c>
      <c r="CO188" s="363">
        <v>0</v>
      </c>
      <c r="CP188" s="363">
        <v>0</v>
      </c>
      <c r="CQ188" s="363">
        <v>0</v>
      </c>
      <c r="CR188" s="363">
        <v>0</v>
      </c>
      <c r="CS188" s="363">
        <v>0</v>
      </c>
      <c r="CT188" s="363">
        <v>0</v>
      </c>
      <c r="CU188" s="363">
        <v>0</v>
      </c>
      <c r="CV188" s="363">
        <v>0</v>
      </c>
      <c r="CW188" s="363">
        <v>0</v>
      </c>
      <c r="CX188" s="363">
        <v>0</v>
      </c>
      <c r="CY188" s="363">
        <v>0</v>
      </c>
      <c r="CZ188" s="363">
        <v>0</v>
      </c>
      <c r="DA188" s="363">
        <v>0</v>
      </c>
      <c r="DB188" s="363">
        <v>0</v>
      </c>
      <c r="DC188" s="363">
        <v>0</v>
      </c>
      <c r="DD188" s="363">
        <v>0</v>
      </c>
      <c r="DE188" s="363">
        <v>0</v>
      </c>
      <c r="DF188" s="363">
        <v>0</v>
      </c>
      <c r="DG188" s="363">
        <v>0</v>
      </c>
      <c r="DH188" s="363">
        <v>0</v>
      </c>
      <c r="DI188" s="363">
        <v>0</v>
      </c>
      <c r="DJ188" s="363">
        <v>0</v>
      </c>
      <c r="DK188" s="364"/>
      <c r="DL188" s="364"/>
      <c r="DM188" s="363">
        <v>0</v>
      </c>
      <c r="DN188" s="363">
        <v>0</v>
      </c>
      <c r="DO188" s="363">
        <v>0</v>
      </c>
      <c r="DP188" s="363">
        <v>0</v>
      </c>
      <c r="DQ188" s="363">
        <v>0</v>
      </c>
      <c r="DR188" s="363">
        <v>0</v>
      </c>
      <c r="DS188" s="363">
        <v>0</v>
      </c>
      <c r="DT188" s="363">
        <v>0</v>
      </c>
      <c r="DU188" s="363">
        <v>0</v>
      </c>
      <c r="DV188" s="363">
        <v>0</v>
      </c>
      <c r="DW188" s="363">
        <f t="shared" si="23"/>
        <v>0</v>
      </c>
      <c r="DX188" s="919"/>
      <c r="DY188" s="713"/>
      <c r="DZ188" s="922"/>
      <c r="EA188" s="859"/>
      <c r="EB188" s="859"/>
      <c r="EC188" s="859"/>
      <c r="ED188" s="859"/>
      <c r="EE188" s="859"/>
      <c r="EF188" s="859"/>
      <c r="EG188" s="1109"/>
      <c r="EI188" s="858"/>
      <c r="EJ188" s="877"/>
      <c r="ER188" s="497"/>
    </row>
    <row r="189" spans="1:148" s="278" customFormat="1" ht="45" customHeight="1" outlineLevel="2" thickBot="1" x14ac:dyDescent="0.25">
      <c r="A189" s="992"/>
      <c r="B189" s="945"/>
      <c r="C189" s="1013"/>
      <c r="D189" s="948"/>
      <c r="E189" s="868"/>
      <c r="F189" s="315" t="s">
        <v>211</v>
      </c>
      <c r="G189" s="364">
        <v>0</v>
      </c>
      <c r="H189" s="364">
        <v>0</v>
      </c>
      <c r="I189" s="364">
        <v>0</v>
      </c>
      <c r="J189" s="364">
        <v>0</v>
      </c>
      <c r="K189" s="364">
        <v>0</v>
      </c>
      <c r="L189" s="364">
        <v>0</v>
      </c>
      <c r="M189" s="364">
        <v>0</v>
      </c>
      <c r="N189" s="364">
        <v>0</v>
      </c>
      <c r="O189" s="364">
        <v>0</v>
      </c>
      <c r="P189" s="364">
        <v>0</v>
      </c>
      <c r="Q189" s="364">
        <v>0</v>
      </c>
      <c r="R189" s="364">
        <v>0</v>
      </c>
      <c r="S189" s="364">
        <v>0</v>
      </c>
      <c r="T189" s="364">
        <v>0</v>
      </c>
      <c r="U189" s="364">
        <v>0</v>
      </c>
      <c r="V189" s="364">
        <v>0</v>
      </c>
      <c r="W189" s="364">
        <v>0</v>
      </c>
      <c r="X189" s="364">
        <v>0</v>
      </c>
      <c r="Y189" s="364">
        <v>0</v>
      </c>
      <c r="Z189" s="364">
        <v>0</v>
      </c>
      <c r="AA189" s="364">
        <v>0</v>
      </c>
      <c r="AB189" s="364">
        <v>0</v>
      </c>
      <c r="AC189" s="364">
        <v>0</v>
      </c>
      <c r="AD189" s="364">
        <v>0</v>
      </c>
      <c r="AE189" s="364">
        <v>0</v>
      </c>
      <c r="AF189" s="364">
        <v>0</v>
      </c>
      <c r="AG189" s="364">
        <v>0</v>
      </c>
      <c r="AH189" s="364">
        <v>0</v>
      </c>
      <c r="AI189" s="364">
        <v>0</v>
      </c>
      <c r="AJ189" s="364">
        <v>0</v>
      </c>
      <c r="AK189" s="364">
        <v>0</v>
      </c>
      <c r="AL189" s="364">
        <v>0</v>
      </c>
      <c r="AM189" s="364">
        <v>0</v>
      </c>
      <c r="AN189" s="364">
        <v>0</v>
      </c>
      <c r="AO189" s="364">
        <v>0</v>
      </c>
      <c r="AP189" s="364">
        <v>0</v>
      </c>
      <c r="AQ189" s="364">
        <v>0</v>
      </c>
      <c r="AR189" s="364">
        <v>0</v>
      </c>
      <c r="AS189" s="364">
        <v>0</v>
      </c>
      <c r="AT189" s="364">
        <v>0</v>
      </c>
      <c r="AU189" s="364">
        <v>0</v>
      </c>
      <c r="AV189" s="364">
        <v>0</v>
      </c>
      <c r="AW189" s="364">
        <v>0</v>
      </c>
      <c r="AX189" s="364">
        <v>0</v>
      </c>
      <c r="AY189" s="364">
        <v>0</v>
      </c>
      <c r="AZ189" s="364">
        <v>0</v>
      </c>
      <c r="BA189" s="364">
        <v>0</v>
      </c>
      <c r="BB189" s="364">
        <v>0</v>
      </c>
      <c r="BC189" s="364">
        <v>0</v>
      </c>
      <c r="BD189" s="364">
        <v>0</v>
      </c>
      <c r="BE189" s="364">
        <v>0</v>
      </c>
      <c r="BF189" s="364">
        <v>0</v>
      </c>
      <c r="BG189" s="364">
        <v>0</v>
      </c>
      <c r="BH189" s="364">
        <v>0</v>
      </c>
      <c r="BI189" s="364">
        <v>0</v>
      </c>
      <c r="BJ189" s="364">
        <v>0</v>
      </c>
      <c r="BK189" s="364">
        <v>0</v>
      </c>
      <c r="BL189" s="364">
        <v>0</v>
      </c>
      <c r="BM189" s="364">
        <v>0</v>
      </c>
      <c r="BN189" s="364">
        <v>0</v>
      </c>
      <c r="BO189" s="364">
        <v>0</v>
      </c>
      <c r="BP189" s="364">
        <v>0</v>
      </c>
      <c r="BQ189" s="364">
        <v>0</v>
      </c>
      <c r="BR189" s="364">
        <v>0</v>
      </c>
      <c r="BS189" s="364">
        <v>0</v>
      </c>
      <c r="BT189" s="364">
        <v>0</v>
      </c>
      <c r="BU189" s="364">
        <v>0</v>
      </c>
      <c r="BV189" s="364">
        <v>0</v>
      </c>
      <c r="BW189" s="364">
        <v>0</v>
      </c>
      <c r="BX189" s="364">
        <v>0</v>
      </c>
      <c r="BY189" s="364">
        <v>0</v>
      </c>
      <c r="BZ189" s="364">
        <v>0</v>
      </c>
      <c r="CA189" s="364">
        <v>0</v>
      </c>
      <c r="CB189" s="364">
        <v>0</v>
      </c>
      <c r="CC189" s="364">
        <v>0</v>
      </c>
      <c r="CD189" s="364">
        <v>0</v>
      </c>
      <c r="CE189" s="364">
        <v>0</v>
      </c>
      <c r="CF189" s="364">
        <v>0</v>
      </c>
      <c r="CG189" s="364">
        <v>0</v>
      </c>
      <c r="CH189" s="364">
        <v>0</v>
      </c>
      <c r="CI189" s="364">
        <v>0</v>
      </c>
      <c r="CJ189" s="364">
        <v>0</v>
      </c>
      <c r="CK189" s="364">
        <v>0</v>
      </c>
      <c r="CL189" s="364">
        <v>0</v>
      </c>
      <c r="CM189" s="364">
        <v>0</v>
      </c>
      <c r="CN189" s="364">
        <v>0</v>
      </c>
      <c r="CO189" s="364">
        <v>0</v>
      </c>
      <c r="CP189" s="364">
        <v>0</v>
      </c>
      <c r="CQ189" s="364">
        <v>0</v>
      </c>
      <c r="CR189" s="364">
        <v>0</v>
      </c>
      <c r="CS189" s="364">
        <v>0</v>
      </c>
      <c r="CT189" s="364">
        <v>0</v>
      </c>
      <c r="CU189" s="364">
        <v>0</v>
      </c>
      <c r="CV189" s="364">
        <v>0</v>
      </c>
      <c r="CW189" s="364">
        <v>0</v>
      </c>
      <c r="CX189" s="364">
        <v>0</v>
      </c>
      <c r="CY189" s="364">
        <v>0</v>
      </c>
      <c r="CZ189" s="364">
        <v>0</v>
      </c>
      <c r="DA189" s="364">
        <v>0</v>
      </c>
      <c r="DB189" s="364">
        <v>0</v>
      </c>
      <c r="DC189" s="364">
        <v>0</v>
      </c>
      <c r="DD189" s="364">
        <f t="shared" ref="DD189:DI189" si="26">($D$187/9)/1000000</f>
        <v>0</v>
      </c>
      <c r="DE189" s="364">
        <f t="shared" si="26"/>
        <v>0</v>
      </c>
      <c r="DF189" s="364">
        <f t="shared" si="26"/>
        <v>0</v>
      </c>
      <c r="DG189" s="364">
        <f t="shared" si="26"/>
        <v>0</v>
      </c>
      <c r="DH189" s="364">
        <f t="shared" si="26"/>
        <v>0</v>
      </c>
      <c r="DI189" s="364">
        <f t="shared" si="26"/>
        <v>0</v>
      </c>
      <c r="DJ189" s="364">
        <f>($D$187/9)/1000000</f>
        <v>0</v>
      </c>
      <c r="DK189" s="364">
        <f>($D$187/9)/1000000</f>
        <v>0</v>
      </c>
      <c r="DL189" s="364">
        <f>($D$187/9)/1000000</f>
        <v>0</v>
      </c>
      <c r="DM189" s="364">
        <v>0</v>
      </c>
      <c r="DN189" s="364">
        <v>0</v>
      </c>
      <c r="DO189" s="364">
        <v>0</v>
      </c>
      <c r="DP189" s="364">
        <v>0</v>
      </c>
      <c r="DQ189" s="364">
        <v>0</v>
      </c>
      <c r="DR189" s="364">
        <v>0</v>
      </c>
      <c r="DS189" s="364">
        <v>0</v>
      </c>
      <c r="DT189" s="364">
        <v>0</v>
      </c>
      <c r="DU189" s="364">
        <v>0</v>
      </c>
      <c r="DV189" s="364">
        <v>0</v>
      </c>
      <c r="DW189" s="364">
        <f t="shared" si="23"/>
        <v>0</v>
      </c>
      <c r="DX189" s="968"/>
      <c r="DY189" s="704"/>
      <c r="DZ189" s="969"/>
      <c r="EA189" s="860"/>
      <c r="EB189" s="860"/>
      <c r="EC189" s="860"/>
      <c r="ED189" s="860"/>
      <c r="EE189" s="860"/>
      <c r="EF189" s="913"/>
      <c r="EG189" s="1110"/>
      <c r="EI189" s="858"/>
      <c r="EJ189" s="877"/>
      <c r="ER189" s="497"/>
    </row>
    <row r="190" spans="1:148" s="278" customFormat="1" ht="12" customHeight="1" outlineLevel="2" x14ac:dyDescent="0.2">
      <c r="A190" s="937" t="s">
        <v>616</v>
      </c>
      <c r="B190" s="963" t="s">
        <v>184</v>
      </c>
      <c r="C190" s="963">
        <f>+C175</f>
        <v>8</v>
      </c>
      <c r="D190" s="957">
        <f>+IFERROR(VLOOKUP(B190,'Detalle Plan de Adquisiciones'!$G$53:$L$153,6,FALSE),0)</f>
        <v>74543677</v>
      </c>
      <c r="E190" s="866" t="str">
        <f>+'Detalle Plan de Adquisiciones'!F133</f>
        <v>INTERVENTORÍA TÉCNICA, ADMINISTRATIVA, FINANCIERA Y AMBIENTAL AL CONTRATO CUYO OBJETO ES: PUNTO DE CENTRALIZACIÓN BARRIO ROBINSON PITALUA</v>
      </c>
      <c r="F190" s="312" t="s">
        <v>410</v>
      </c>
      <c r="G190" s="354">
        <v>0</v>
      </c>
      <c r="H190" s="354">
        <v>0</v>
      </c>
      <c r="I190" s="354">
        <v>0</v>
      </c>
      <c r="J190" s="354">
        <v>0</v>
      </c>
      <c r="K190" s="354">
        <v>0</v>
      </c>
      <c r="L190" s="354">
        <v>0</v>
      </c>
      <c r="M190" s="354">
        <v>0</v>
      </c>
      <c r="N190" s="354">
        <v>0</v>
      </c>
      <c r="O190" s="354">
        <v>0</v>
      </c>
      <c r="P190" s="354">
        <v>0</v>
      </c>
      <c r="Q190" s="354">
        <v>0</v>
      </c>
      <c r="R190" s="354">
        <v>0</v>
      </c>
      <c r="S190" s="354">
        <v>0</v>
      </c>
      <c r="T190" s="354">
        <v>0</v>
      </c>
      <c r="U190" s="354">
        <v>0</v>
      </c>
      <c r="V190" s="354">
        <v>0</v>
      </c>
      <c r="W190" s="354">
        <v>0</v>
      </c>
      <c r="X190" s="354">
        <v>0</v>
      </c>
      <c r="Y190" s="354">
        <v>0</v>
      </c>
      <c r="Z190" s="354">
        <v>0</v>
      </c>
      <c r="AA190" s="354">
        <v>0</v>
      </c>
      <c r="AB190" s="354">
        <v>0</v>
      </c>
      <c r="AC190" s="354">
        <v>0</v>
      </c>
      <c r="AD190" s="354">
        <v>0</v>
      </c>
      <c r="AE190" s="354">
        <v>0</v>
      </c>
      <c r="AF190" s="354">
        <v>0</v>
      </c>
      <c r="AG190" s="354">
        <v>0</v>
      </c>
      <c r="AH190" s="354">
        <v>0</v>
      </c>
      <c r="AI190" s="354">
        <v>0</v>
      </c>
      <c r="AJ190" s="354">
        <v>0</v>
      </c>
      <c r="AK190" s="354">
        <v>0</v>
      </c>
      <c r="AL190" s="354">
        <v>0</v>
      </c>
      <c r="AM190" s="354">
        <v>0</v>
      </c>
      <c r="AN190" s="354">
        <v>0</v>
      </c>
      <c r="AO190" s="354">
        <v>0</v>
      </c>
      <c r="AP190" s="354">
        <v>0</v>
      </c>
      <c r="AQ190" s="354">
        <v>0</v>
      </c>
      <c r="AR190" s="354">
        <v>0</v>
      </c>
      <c r="AS190" s="354">
        <v>0</v>
      </c>
      <c r="AT190" s="354">
        <v>0</v>
      </c>
      <c r="AU190" s="354">
        <v>0</v>
      </c>
      <c r="AV190" s="354">
        <v>0</v>
      </c>
      <c r="AW190" s="354">
        <v>0</v>
      </c>
      <c r="AX190" s="354">
        <v>0</v>
      </c>
      <c r="AY190" s="354">
        <v>0</v>
      </c>
      <c r="AZ190" s="354">
        <v>0</v>
      </c>
      <c r="BA190" s="354">
        <v>0</v>
      </c>
      <c r="BB190" s="354">
        <v>0</v>
      </c>
      <c r="BC190" s="354">
        <v>0</v>
      </c>
      <c r="BD190" s="354">
        <v>0</v>
      </c>
      <c r="BE190" s="354">
        <v>0</v>
      </c>
      <c r="BF190" s="354">
        <v>0</v>
      </c>
      <c r="BG190" s="354">
        <v>0</v>
      </c>
      <c r="BH190" s="354">
        <v>0</v>
      </c>
      <c r="BI190" s="354">
        <v>0</v>
      </c>
      <c r="BJ190" s="354">
        <v>0</v>
      </c>
      <c r="BK190" s="354">
        <v>0</v>
      </c>
      <c r="BL190" s="354">
        <v>0</v>
      </c>
      <c r="BM190" s="354">
        <v>0</v>
      </c>
      <c r="BN190" s="354">
        <v>0</v>
      </c>
      <c r="BO190" s="354">
        <v>0</v>
      </c>
      <c r="BP190" s="354">
        <v>0</v>
      </c>
      <c r="BQ190" s="354">
        <v>0</v>
      </c>
      <c r="BR190" s="354">
        <v>0</v>
      </c>
      <c r="BS190" s="354">
        <v>0</v>
      </c>
      <c r="BT190" s="354">
        <v>0</v>
      </c>
      <c r="BU190" s="354">
        <v>0</v>
      </c>
      <c r="BV190" s="354">
        <v>0</v>
      </c>
      <c r="BW190" s="354">
        <v>0</v>
      </c>
      <c r="BX190" s="354">
        <v>0</v>
      </c>
      <c r="BY190" s="354">
        <v>0</v>
      </c>
      <c r="BZ190" s="354">
        <v>0</v>
      </c>
      <c r="CA190" s="354">
        <v>0</v>
      </c>
      <c r="CB190" s="354">
        <v>0</v>
      </c>
      <c r="CC190" s="354">
        <v>0</v>
      </c>
      <c r="CD190" s="354">
        <v>0</v>
      </c>
      <c r="CE190" s="354">
        <v>0</v>
      </c>
      <c r="CF190" s="354">
        <v>0</v>
      </c>
      <c r="CG190" s="354">
        <v>0</v>
      </c>
      <c r="CH190" s="354">
        <v>0</v>
      </c>
      <c r="CI190" s="354">
        <v>0</v>
      </c>
      <c r="CJ190" s="354">
        <v>0</v>
      </c>
      <c r="CK190" s="354">
        <v>0</v>
      </c>
      <c r="CL190" s="354">
        <v>0</v>
      </c>
      <c r="CM190" s="354">
        <v>0</v>
      </c>
      <c r="CN190" s="354">
        <v>0</v>
      </c>
      <c r="CO190" s="354">
        <v>0</v>
      </c>
      <c r="CP190" s="354">
        <v>0</v>
      </c>
      <c r="CQ190" s="354">
        <v>0</v>
      </c>
      <c r="CR190" s="354">
        <v>0</v>
      </c>
      <c r="CS190" s="354">
        <v>0</v>
      </c>
      <c r="CT190" s="354">
        <v>0</v>
      </c>
      <c r="CU190" s="354">
        <v>0</v>
      </c>
      <c r="CV190" s="354">
        <v>0</v>
      </c>
      <c r="CW190" s="354">
        <v>0</v>
      </c>
      <c r="CX190" s="354">
        <v>0</v>
      </c>
      <c r="CY190" s="354">
        <v>0</v>
      </c>
      <c r="CZ190" s="354"/>
      <c r="DA190" s="354"/>
      <c r="DB190" s="354"/>
      <c r="DC190" s="354"/>
      <c r="DD190" s="354"/>
      <c r="DE190" s="354"/>
      <c r="DF190" s="354"/>
      <c r="DG190" s="354"/>
      <c r="DH190" s="354"/>
      <c r="DI190" s="354"/>
      <c r="DJ190" s="354"/>
      <c r="DK190" s="354"/>
      <c r="DL190" s="354"/>
      <c r="DM190" s="354"/>
      <c r="DN190" s="354"/>
      <c r="DO190" s="354">
        <v>0</v>
      </c>
      <c r="DP190" s="354">
        <v>0</v>
      </c>
      <c r="DQ190" s="354">
        <v>0</v>
      </c>
      <c r="DR190" s="354">
        <v>0</v>
      </c>
      <c r="DS190" s="354">
        <v>0</v>
      </c>
      <c r="DT190" s="354">
        <v>0</v>
      </c>
      <c r="DU190" s="354">
        <v>0</v>
      </c>
      <c r="DV190" s="354">
        <v>0</v>
      </c>
      <c r="DW190" s="354">
        <f t="shared" si="23"/>
        <v>0</v>
      </c>
      <c r="DX190" s="918">
        <f>DW190+DW191+DW192</f>
        <v>74.543677000000002</v>
      </c>
      <c r="DY190" s="712">
        <f>+DX190*1000000</f>
        <v>74543677</v>
      </c>
      <c r="DZ190" s="921">
        <f>+DY190-D190</f>
        <v>0</v>
      </c>
      <c r="EA190" s="912">
        <f>VLOOKUP(POA!$B190,INTERPLAN,28,0)</f>
        <v>43363</v>
      </c>
      <c r="EB190" s="912">
        <f>+EDATE(EA190,C190)</f>
        <v>43605</v>
      </c>
      <c r="EC190" s="912">
        <f>EB190+30</f>
        <v>43635</v>
      </c>
      <c r="ED190" s="912" t="str">
        <f>CONCATENATE(MONTH(EA190),"-",YEAR(EA190))</f>
        <v>9-2018</v>
      </c>
      <c r="EE190" s="914" t="str">
        <f>CONCATENATE(MONTH(EB190),"-",YEAR(EB190))</f>
        <v>5-2019</v>
      </c>
      <c r="EF190" s="915" t="str">
        <f>CONCATENATE(MONTH(EC190),"-",YEAR(EC190))</f>
        <v>6-2019</v>
      </c>
      <c r="EG190" s="1106">
        <f>+DW190/DX190</f>
        <v>0</v>
      </c>
      <c r="EI190" s="858">
        <f>+DW190+DW191+DW192</f>
        <v>74.543677000000002</v>
      </c>
      <c r="EJ190" s="877">
        <f>+D190/1000000-EI190</f>
        <v>0</v>
      </c>
      <c r="ER190" s="497"/>
    </row>
    <row r="191" spans="1:148" s="278" customFormat="1" ht="12" customHeight="1" outlineLevel="2" x14ac:dyDescent="0.2">
      <c r="A191" s="938"/>
      <c r="B191" s="944"/>
      <c r="C191" s="944"/>
      <c r="D191" s="958"/>
      <c r="E191" s="867"/>
      <c r="F191" s="311" t="s">
        <v>210</v>
      </c>
      <c r="G191" s="363">
        <v>0</v>
      </c>
      <c r="H191" s="363">
        <v>0</v>
      </c>
      <c r="I191" s="363">
        <v>0</v>
      </c>
      <c r="J191" s="363">
        <v>0</v>
      </c>
      <c r="K191" s="363">
        <v>0</v>
      </c>
      <c r="L191" s="363">
        <v>0</v>
      </c>
      <c r="M191" s="363">
        <v>0</v>
      </c>
      <c r="N191" s="363">
        <v>0</v>
      </c>
      <c r="O191" s="363">
        <v>0</v>
      </c>
      <c r="P191" s="363">
        <v>0</v>
      </c>
      <c r="Q191" s="363">
        <v>0</v>
      </c>
      <c r="R191" s="363">
        <v>0</v>
      </c>
      <c r="S191" s="363">
        <v>0</v>
      </c>
      <c r="T191" s="363">
        <v>0</v>
      </c>
      <c r="U191" s="363">
        <v>0</v>
      </c>
      <c r="V191" s="363">
        <v>0</v>
      </c>
      <c r="W191" s="363">
        <v>0</v>
      </c>
      <c r="X191" s="363">
        <v>0</v>
      </c>
      <c r="Y191" s="363">
        <v>0</v>
      </c>
      <c r="Z191" s="363">
        <v>0</v>
      </c>
      <c r="AA191" s="363">
        <v>0</v>
      </c>
      <c r="AB191" s="363">
        <v>0</v>
      </c>
      <c r="AC191" s="363">
        <v>0</v>
      </c>
      <c r="AD191" s="363">
        <v>0</v>
      </c>
      <c r="AE191" s="363">
        <v>0</v>
      </c>
      <c r="AF191" s="363">
        <v>0</v>
      </c>
      <c r="AG191" s="363">
        <v>0</v>
      </c>
      <c r="AH191" s="363">
        <v>0</v>
      </c>
      <c r="AI191" s="363">
        <v>0</v>
      </c>
      <c r="AJ191" s="363">
        <v>0</v>
      </c>
      <c r="AK191" s="363">
        <v>0</v>
      </c>
      <c r="AL191" s="363">
        <v>0</v>
      </c>
      <c r="AM191" s="363">
        <v>0</v>
      </c>
      <c r="AN191" s="363">
        <v>0</v>
      </c>
      <c r="AO191" s="363">
        <v>0</v>
      </c>
      <c r="AP191" s="363">
        <v>0</v>
      </c>
      <c r="AQ191" s="363">
        <v>0</v>
      </c>
      <c r="AR191" s="363">
        <v>0</v>
      </c>
      <c r="AS191" s="363">
        <v>0</v>
      </c>
      <c r="AT191" s="363">
        <v>0</v>
      </c>
      <c r="AU191" s="363">
        <v>0</v>
      </c>
      <c r="AV191" s="363">
        <v>0</v>
      </c>
      <c r="AW191" s="363">
        <v>0</v>
      </c>
      <c r="AX191" s="363">
        <v>0</v>
      </c>
      <c r="AY191" s="363">
        <v>0</v>
      </c>
      <c r="AZ191" s="363">
        <v>0</v>
      </c>
      <c r="BA191" s="363">
        <v>0</v>
      </c>
      <c r="BB191" s="363">
        <v>0</v>
      </c>
      <c r="BC191" s="363">
        <v>0</v>
      </c>
      <c r="BD191" s="363">
        <v>0</v>
      </c>
      <c r="BE191" s="363">
        <v>0</v>
      </c>
      <c r="BF191" s="363">
        <v>0</v>
      </c>
      <c r="BG191" s="363">
        <v>0</v>
      </c>
      <c r="BH191" s="363">
        <v>0</v>
      </c>
      <c r="BI191" s="363">
        <v>0</v>
      </c>
      <c r="BJ191" s="363">
        <v>0</v>
      </c>
      <c r="BK191" s="363">
        <v>0</v>
      </c>
      <c r="BL191" s="363">
        <v>0</v>
      </c>
      <c r="BM191" s="363">
        <v>0</v>
      </c>
      <c r="BN191" s="363">
        <v>0</v>
      </c>
      <c r="BO191" s="363">
        <v>0</v>
      </c>
      <c r="BP191" s="363">
        <v>0</v>
      </c>
      <c r="BQ191" s="363">
        <v>0</v>
      </c>
      <c r="BR191" s="363">
        <v>0</v>
      </c>
      <c r="BS191" s="363">
        <v>0</v>
      </c>
      <c r="BT191" s="363">
        <v>0</v>
      </c>
      <c r="BU191" s="363">
        <v>0</v>
      </c>
      <c r="BV191" s="363">
        <v>0</v>
      </c>
      <c r="BW191" s="363">
        <v>0</v>
      </c>
      <c r="BX191" s="363">
        <v>0</v>
      </c>
      <c r="BY191" s="363">
        <v>0</v>
      </c>
      <c r="BZ191" s="363">
        <v>0</v>
      </c>
      <c r="CA191" s="363">
        <v>0</v>
      </c>
      <c r="CB191" s="363">
        <v>0</v>
      </c>
      <c r="CC191" s="363">
        <v>0</v>
      </c>
      <c r="CD191" s="363">
        <v>0</v>
      </c>
      <c r="CE191" s="363">
        <v>0</v>
      </c>
      <c r="CF191" s="363">
        <v>0</v>
      </c>
      <c r="CG191" s="363">
        <v>0</v>
      </c>
      <c r="CH191" s="363">
        <v>0</v>
      </c>
      <c r="CI191" s="363">
        <v>0</v>
      </c>
      <c r="CJ191" s="363">
        <v>0</v>
      </c>
      <c r="CK191" s="363">
        <v>0</v>
      </c>
      <c r="CL191" s="363">
        <v>0</v>
      </c>
      <c r="CM191" s="363">
        <v>0</v>
      </c>
      <c r="CN191" s="363">
        <v>0</v>
      </c>
      <c r="CO191" s="363">
        <v>0</v>
      </c>
      <c r="CP191" s="363">
        <v>0</v>
      </c>
      <c r="CQ191" s="363">
        <v>0</v>
      </c>
      <c r="CR191" s="363">
        <v>0</v>
      </c>
      <c r="CS191" s="363">
        <v>0</v>
      </c>
      <c r="CT191" s="363">
        <v>0</v>
      </c>
      <c r="CU191" s="363">
        <v>0</v>
      </c>
      <c r="CV191" s="363">
        <v>0</v>
      </c>
      <c r="CW191" s="363">
        <v>0</v>
      </c>
      <c r="CX191" s="363">
        <v>0</v>
      </c>
      <c r="CY191" s="363">
        <v>0</v>
      </c>
      <c r="CZ191" s="363"/>
      <c r="DA191" s="363"/>
      <c r="DB191" s="363"/>
      <c r="DC191" s="363"/>
      <c r="DD191" s="363"/>
      <c r="DE191" s="363"/>
      <c r="DF191" s="363"/>
      <c r="DG191" s="363"/>
      <c r="DH191" s="363"/>
      <c r="DI191" s="363"/>
      <c r="DJ191" s="363"/>
      <c r="DK191" s="363"/>
      <c r="DL191" s="363"/>
      <c r="DM191" s="363"/>
      <c r="DN191" s="363"/>
      <c r="DO191" s="363">
        <v>0</v>
      </c>
      <c r="DP191" s="363">
        <v>0</v>
      </c>
      <c r="DQ191" s="363">
        <v>0</v>
      </c>
      <c r="DR191" s="363">
        <v>0</v>
      </c>
      <c r="DS191" s="363">
        <v>0</v>
      </c>
      <c r="DT191" s="363">
        <v>0</v>
      </c>
      <c r="DU191" s="363">
        <v>0</v>
      </c>
      <c r="DV191" s="363">
        <v>0</v>
      </c>
      <c r="DW191" s="363">
        <f t="shared" si="23"/>
        <v>0</v>
      </c>
      <c r="DX191" s="919"/>
      <c r="DY191" s="713"/>
      <c r="DZ191" s="922"/>
      <c r="EA191" s="859"/>
      <c r="EB191" s="859"/>
      <c r="EC191" s="859"/>
      <c r="ED191" s="859"/>
      <c r="EE191" s="861"/>
      <c r="EF191" s="916"/>
      <c r="EG191" s="1106"/>
      <c r="EI191" s="858"/>
      <c r="EJ191" s="877"/>
      <c r="ER191" s="497"/>
    </row>
    <row r="192" spans="1:148" s="278" customFormat="1" ht="57.75" customHeight="1" outlineLevel="2" thickBot="1" x14ac:dyDescent="0.25">
      <c r="A192" s="992"/>
      <c r="B192" s="945"/>
      <c r="C192" s="945"/>
      <c r="D192" s="1020"/>
      <c r="E192" s="868"/>
      <c r="F192" s="315" t="s">
        <v>211</v>
      </c>
      <c r="G192" s="364">
        <v>0</v>
      </c>
      <c r="H192" s="364">
        <v>0</v>
      </c>
      <c r="I192" s="364">
        <v>0</v>
      </c>
      <c r="J192" s="364">
        <v>0</v>
      </c>
      <c r="K192" s="364">
        <v>0</v>
      </c>
      <c r="L192" s="364">
        <v>0</v>
      </c>
      <c r="M192" s="364">
        <v>0</v>
      </c>
      <c r="N192" s="364">
        <v>0</v>
      </c>
      <c r="O192" s="364">
        <v>0</v>
      </c>
      <c r="P192" s="364">
        <v>0</v>
      </c>
      <c r="Q192" s="364">
        <v>0</v>
      </c>
      <c r="R192" s="364">
        <v>0</v>
      </c>
      <c r="S192" s="364">
        <v>0</v>
      </c>
      <c r="T192" s="364">
        <v>0</v>
      </c>
      <c r="U192" s="364">
        <v>0</v>
      </c>
      <c r="V192" s="364">
        <v>0</v>
      </c>
      <c r="W192" s="364">
        <v>0</v>
      </c>
      <c r="X192" s="364">
        <v>0</v>
      </c>
      <c r="Y192" s="364">
        <v>0</v>
      </c>
      <c r="Z192" s="364">
        <v>0</v>
      </c>
      <c r="AA192" s="364">
        <v>0</v>
      </c>
      <c r="AB192" s="364">
        <v>0</v>
      </c>
      <c r="AC192" s="364">
        <v>0</v>
      </c>
      <c r="AD192" s="364">
        <v>0</v>
      </c>
      <c r="AE192" s="364">
        <v>0</v>
      </c>
      <c r="AF192" s="364">
        <v>0</v>
      </c>
      <c r="AG192" s="364">
        <v>0</v>
      </c>
      <c r="AH192" s="364">
        <v>0</v>
      </c>
      <c r="AI192" s="364">
        <v>0</v>
      </c>
      <c r="AJ192" s="364">
        <v>0</v>
      </c>
      <c r="AK192" s="364">
        <v>0</v>
      </c>
      <c r="AL192" s="364">
        <v>0</v>
      </c>
      <c r="AM192" s="364">
        <v>0</v>
      </c>
      <c r="AN192" s="364">
        <v>0</v>
      </c>
      <c r="AO192" s="364">
        <v>0</v>
      </c>
      <c r="AP192" s="364">
        <v>0</v>
      </c>
      <c r="AQ192" s="364">
        <v>0</v>
      </c>
      <c r="AR192" s="364">
        <v>0</v>
      </c>
      <c r="AS192" s="364">
        <v>0</v>
      </c>
      <c r="AT192" s="364">
        <v>0</v>
      </c>
      <c r="AU192" s="364">
        <v>0</v>
      </c>
      <c r="AV192" s="364">
        <v>0</v>
      </c>
      <c r="AW192" s="364">
        <v>0</v>
      </c>
      <c r="AX192" s="364">
        <v>0</v>
      </c>
      <c r="AY192" s="364">
        <v>0</v>
      </c>
      <c r="AZ192" s="364">
        <v>0</v>
      </c>
      <c r="BA192" s="364">
        <v>0</v>
      </c>
      <c r="BB192" s="364">
        <v>0</v>
      </c>
      <c r="BC192" s="364">
        <v>0</v>
      </c>
      <c r="BD192" s="364">
        <v>0</v>
      </c>
      <c r="BE192" s="364">
        <v>0</v>
      </c>
      <c r="BF192" s="364">
        <v>0</v>
      </c>
      <c r="BG192" s="364">
        <v>0</v>
      </c>
      <c r="BH192" s="364">
        <v>0</v>
      </c>
      <c r="BI192" s="364">
        <v>0</v>
      </c>
      <c r="BJ192" s="364">
        <v>0</v>
      </c>
      <c r="BK192" s="364">
        <v>0</v>
      </c>
      <c r="BL192" s="364">
        <v>0</v>
      </c>
      <c r="BM192" s="364">
        <v>0</v>
      </c>
      <c r="BN192" s="364">
        <v>0</v>
      </c>
      <c r="BO192" s="364">
        <v>0</v>
      </c>
      <c r="BP192" s="364">
        <v>0</v>
      </c>
      <c r="BQ192" s="364">
        <v>0</v>
      </c>
      <c r="BR192" s="364">
        <v>0</v>
      </c>
      <c r="BS192" s="364">
        <v>0</v>
      </c>
      <c r="BT192" s="364">
        <v>0</v>
      </c>
      <c r="BU192" s="364">
        <v>0</v>
      </c>
      <c r="BV192" s="364">
        <v>0</v>
      </c>
      <c r="BW192" s="364">
        <v>0</v>
      </c>
      <c r="BX192" s="364">
        <v>0</v>
      </c>
      <c r="BY192" s="364">
        <v>0</v>
      </c>
      <c r="BZ192" s="364">
        <v>0</v>
      </c>
      <c r="CA192" s="364">
        <v>0</v>
      </c>
      <c r="CB192" s="364">
        <v>0</v>
      </c>
      <c r="CC192" s="364">
        <v>0</v>
      </c>
      <c r="CD192" s="364">
        <v>0</v>
      </c>
      <c r="CE192" s="364">
        <v>0</v>
      </c>
      <c r="CF192" s="364">
        <v>0</v>
      </c>
      <c r="CG192" s="364">
        <v>0</v>
      </c>
      <c r="CH192" s="364">
        <v>0</v>
      </c>
      <c r="CI192" s="364">
        <v>0</v>
      </c>
      <c r="CJ192" s="364">
        <v>0</v>
      </c>
      <c r="CK192" s="364">
        <v>0</v>
      </c>
      <c r="CL192" s="364">
        <v>0</v>
      </c>
      <c r="CM192" s="364">
        <v>0</v>
      </c>
      <c r="CN192" s="364">
        <v>0</v>
      </c>
      <c r="CO192" s="364">
        <v>0</v>
      </c>
      <c r="CP192" s="364">
        <v>0</v>
      </c>
      <c r="CQ192" s="364">
        <v>0</v>
      </c>
      <c r="CR192" s="364">
        <v>0</v>
      </c>
      <c r="CS192" s="364">
        <v>0</v>
      </c>
      <c r="CT192" s="364">
        <v>0</v>
      </c>
      <c r="CU192" s="364">
        <v>0</v>
      </c>
      <c r="CV192" s="364">
        <v>0</v>
      </c>
      <c r="CW192" s="364">
        <v>0</v>
      </c>
      <c r="CX192" s="364">
        <v>0</v>
      </c>
      <c r="CY192" s="364">
        <v>0</v>
      </c>
      <c r="CZ192" s="364"/>
      <c r="DA192" s="364"/>
      <c r="DB192" s="364"/>
      <c r="DC192" s="364"/>
      <c r="DD192" s="364"/>
      <c r="DE192" s="364"/>
      <c r="DF192" s="364"/>
      <c r="DG192" s="364"/>
      <c r="DH192" s="364">
        <f>($D$190/9)/1000000</f>
        <v>8.2826307777777775</v>
      </c>
      <c r="DI192" s="364">
        <f t="shared" ref="DI192:DP192" si="27">($D$190/9)/1000000</f>
        <v>8.2826307777777775</v>
      </c>
      <c r="DJ192" s="364">
        <f t="shared" si="27"/>
        <v>8.2826307777777775</v>
      </c>
      <c r="DK192" s="364">
        <f t="shared" si="27"/>
        <v>8.2826307777777775</v>
      </c>
      <c r="DL192" s="364">
        <f t="shared" si="27"/>
        <v>8.2826307777777775</v>
      </c>
      <c r="DM192" s="364">
        <f t="shared" si="27"/>
        <v>8.2826307777777775</v>
      </c>
      <c r="DN192" s="364">
        <f t="shared" si="27"/>
        <v>8.2826307777777775</v>
      </c>
      <c r="DO192" s="364">
        <f t="shared" si="27"/>
        <v>8.2826307777777775</v>
      </c>
      <c r="DP192" s="364">
        <f t="shared" si="27"/>
        <v>8.2826307777777775</v>
      </c>
      <c r="DQ192" s="364">
        <v>0</v>
      </c>
      <c r="DR192" s="364">
        <v>0</v>
      </c>
      <c r="DS192" s="364">
        <v>0</v>
      </c>
      <c r="DT192" s="364">
        <v>0</v>
      </c>
      <c r="DU192" s="364">
        <v>0</v>
      </c>
      <c r="DV192" s="364">
        <v>0</v>
      </c>
      <c r="DW192" s="364">
        <f t="shared" si="23"/>
        <v>74.543677000000002</v>
      </c>
      <c r="DX192" s="968"/>
      <c r="DY192" s="704"/>
      <c r="DZ192" s="969"/>
      <c r="EA192" s="860"/>
      <c r="EB192" s="860"/>
      <c r="EC192" s="860"/>
      <c r="ED192" s="860"/>
      <c r="EE192" s="862"/>
      <c r="EF192" s="917"/>
      <c r="EG192" s="1107">
        <f>+DW192/DX190</f>
        <v>1</v>
      </c>
      <c r="EI192" s="858"/>
      <c r="EJ192" s="877"/>
      <c r="ER192" s="497"/>
    </row>
    <row r="193" spans="1:169" s="278" customFormat="1" ht="24" outlineLevel="2" x14ac:dyDescent="0.2">
      <c r="A193" s="937" t="s">
        <v>617</v>
      </c>
      <c r="B193" s="963" t="s">
        <v>185</v>
      </c>
      <c r="C193" s="963">
        <f>+C178</f>
        <v>8</v>
      </c>
      <c r="D193" s="985">
        <f>+IFERROR(VLOOKUP(B193,'Detalle Plan de Adquisiciones'!$G$53:$L$153,6,FALSE),0)</f>
        <v>0</v>
      </c>
      <c r="E193" s="866" t="str">
        <f>+'Detalle Plan de Adquisiciones'!F134</f>
        <v>INTERVENTORÍA TÉCNICA, ADMINISTRATIVA, FINANCIERA Y AMBIENTAL AL CONTRATO CUYO OBJETO ES: PUNTO DE CENTRALIZACIÓN BARRIO SAN MARTÍN</v>
      </c>
      <c r="F193" s="312" t="s">
        <v>410</v>
      </c>
      <c r="G193" s="354">
        <v>0</v>
      </c>
      <c r="H193" s="354">
        <v>0</v>
      </c>
      <c r="I193" s="354">
        <v>0</v>
      </c>
      <c r="J193" s="354">
        <v>0</v>
      </c>
      <c r="K193" s="354">
        <v>0</v>
      </c>
      <c r="L193" s="354">
        <v>0</v>
      </c>
      <c r="M193" s="354">
        <v>0</v>
      </c>
      <c r="N193" s="354">
        <v>0</v>
      </c>
      <c r="O193" s="354">
        <v>0</v>
      </c>
      <c r="P193" s="354">
        <v>0</v>
      </c>
      <c r="Q193" s="354">
        <v>0</v>
      </c>
      <c r="R193" s="354">
        <v>0</v>
      </c>
      <c r="S193" s="354">
        <v>0</v>
      </c>
      <c r="T193" s="354">
        <v>0</v>
      </c>
      <c r="U193" s="354">
        <v>0</v>
      </c>
      <c r="V193" s="354">
        <v>0</v>
      </c>
      <c r="W193" s="354">
        <v>0</v>
      </c>
      <c r="X193" s="354">
        <v>0</v>
      </c>
      <c r="Y193" s="354">
        <v>0</v>
      </c>
      <c r="Z193" s="354">
        <v>0</v>
      </c>
      <c r="AA193" s="354">
        <v>0</v>
      </c>
      <c r="AB193" s="354">
        <v>0</v>
      </c>
      <c r="AC193" s="354">
        <v>0</v>
      </c>
      <c r="AD193" s="354">
        <v>0</v>
      </c>
      <c r="AE193" s="354">
        <v>0</v>
      </c>
      <c r="AF193" s="354">
        <v>0</v>
      </c>
      <c r="AG193" s="354">
        <v>0</v>
      </c>
      <c r="AH193" s="354">
        <v>0</v>
      </c>
      <c r="AI193" s="354">
        <v>0</v>
      </c>
      <c r="AJ193" s="354">
        <v>0</v>
      </c>
      <c r="AK193" s="354">
        <v>0</v>
      </c>
      <c r="AL193" s="354">
        <v>0</v>
      </c>
      <c r="AM193" s="354">
        <v>0</v>
      </c>
      <c r="AN193" s="354">
        <v>0</v>
      </c>
      <c r="AO193" s="354">
        <v>0</v>
      </c>
      <c r="AP193" s="354">
        <v>0</v>
      </c>
      <c r="AQ193" s="354">
        <v>0</v>
      </c>
      <c r="AR193" s="354">
        <v>0</v>
      </c>
      <c r="AS193" s="354">
        <v>0</v>
      </c>
      <c r="AT193" s="354">
        <v>0</v>
      </c>
      <c r="AU193" s="354">
        <v>0</v>
      </c>
      <c r="AV193" s="354">
        <v>0</v>
      </c>
      <c r="AW193" s="354">
        <v>0</v>
      </c>
      <c r="AX193" s="354">
        <v>0</v>
      </c>
      <c r="AY193" s="354">
        <v>0</v>
      </c>
      <c r="AZ193" s="354">
        <v>0</v>
      </c>
      <c r="BA193" s="354">
        <v>0</v>
      </c>
      <c r="BB193" s="354">
        <v>0</v>
      </c>
      <c r="BC193" s="354">
        <v>0</v>
      </c>
      <c r="BD193" s="354">
        <v>0</v>
      </c>
      <c r="BE193" s="354">
        <v>0</v>
      </c>
      <c r="BF193" s="354">
        <v>0</v>
      </c>
      <c r="BG193" s="354">
        <v>0</v>
      </c>
      <c r="BH193" s="354">
        <v>0</v>
      </c>
      <c r="BI193" s="354">
        <v>0</v>
      </c>
      <c r="BJ193" s="354">
        <v>0</v>
      </c>
      <c r="BK193" s="354">
        <v>0</v>
      </c>
      <c r="BL193" s="354">
        <v>0</v>
      </c>
      <c r="BM193" s="354">
        <v>0</v>
      </c>
      <c r="BN193" s="354">
        <v>0</v>
      </c>
      <c r="BO193" s="354">
        <v>0</v>
      </c>
      <c r="BP193" s="354">
        <v>0</v>
      </c>
      <c r="BQ193" s="354">
        <v>0</v>
      </c>
      <c r="BR193" s="354">
        <v>0</v>
      </c>
      <c r="BS193" s="354">
        <v>0</v>
      </c>
      <c r="BT193" s="354">
        <v>0</v>
      </c>
      <c r="BU193" s="354">
        <v>0</v>
      </c>
      <c r="BV193" s="354">
        <v>0</v>
      </c>
      <c r="BW193" s="354">
        <v>0</v>
      </c>
      <c r="BX193" s="354">
        <v>0</v>
      </c>
      <c r="BY193" s="354">
        <v>0</v>
      </c>
      <c r="BZ193" s="354">
        <v>0</v>
      </c>
      <c r="CA193" s="354">
        <v>0</v>
      </c>
      <c r="CB193" s="354">
        <v>0</v>
      </c>
      <c r="CC193" s="354">
        <v>0</v>
      </c>
      <c r="CD193" s="354">
        <v>0</v>
      </c>
      <c r="CE193" s="354">
        <v>0</v>
      </c>
      <c r="CF193" s="354">
        <v>0</v>
      </c>
      <c r="CG193" s="354">
        <v>0</v>
      </c>
      <c r="CH193" s="354">
        <v>0</v>
      </c>
      <c r="CI193" s="354">
        <v>0</v>
      </c>
      <c r="CJ193" s="354">
        <v>0</v>
      </c>
      <c r="CK193" s="354">
        <v>0</v>
      </c>
      <c r="CL193" s="354">
        <v>0</v>
      </c>
      <c r="CM193" s="354">
        <v>0</v>
      </c>
      <c r="CN193" s="354">
        <v>0</v>
      </c>
      <c r="CO193" s="354">
        <v>0</v>
      </c>
      <c r="CP193" s="354">
        <v>0</v>
      </c>
      <c r="CQ193" s="354">
        <v>0</v>
      </c>
      <c r="CR193" s="354">
        <v>0</v>
      </c>
      <c r="CS193" s="354">
        <v>0</v>
      </c>
      <c r="CT193" s="354">
        <v>0</v>
      </c>
      <c r="CU193" s="354">
        <v>0</v>
      </c>
      <c r="CV193" s="354">
        <v>0</v>
      </c>
      <c r="CW193" s="354">
        <v>0</v>
      </c>
      <c r="CX193" s="354">
        <v>0</v>
      </c>
      <c r="CY193" s="354">
        <v>0</v>
      </c>
      <c r="CZ193" s="354"/>
      <c r="DA193" s="354"/>
      <c r="DB193" s="354"/>
      <c r="DC193" s="354"/>
      <c r="DD193" s="354"/>
      <c r="DE193" s="354">
        <f t="shared" ref="DE193:DK193" si="28">($D$187/9)/1000000</f>
        <v>0</v>
      </c>
      <c r="DF193" s="354">
        <f t="shared" si="28"/>
        <v>0</v>
      </c>
      <c r="DG193" s="354">
        <f t="shared" si="28"/>
        <v>0</v>
      </c>
      <c r="DH193" s="354">
        <f t="shared" si="28"/>
        <v>0</v>
      </c>
      <c r="DI193" s="354">
        <f t="shared" si="28"/>
        <v>0</v>
      </c>
      <c r="DJ193" s="354">
        <f t="shared" si="28"/>
        <v>0</v>
      </c>
      <c r="DK193" s="354">
        <f t="shared" si="28"/>
        <v>0</v>
      </c>
      <c r="DL193" s="354">
        <v>0</v>
      </c>
      <c r="DM193" s="354">
        <v>0</v>
      </c>
      <c r="DN193" s="354">
        <v>0</v>
      </c>
      <c r="DO193" s="354">
        <v>0</v>
      </c>
      <c r="DP193" s="354">
        <v>0</v>
      </c>
      <c r="DQ193" s="354">
        <v>0</v>
      </c>
      <c r="DR193" s="354">
        <v>0</v>
      </c>
      <c r="DS193" s="354">
        <v>0</v>
      </c>
      <c r="DT193" s="354">
        <v>0</v>
      </c>
      <c r="DU193" s="354">
        <v>0</v>
      </c>
      <c r="DV193" s="354">
        <v>0</v>
      </c>
      <c r="DW193" s="354">
        <f t="shared" si="23"/>
        <v>0</v>
      </c>
      <c r="DX193" s="918">
        <f>DW193+DW194+DW195</f>
        <v>0</v>
      </c>
      <c r="DY193" s="712">
        <f>+DX193*1000000</f>
        <v>0</v>
      </c>
      <c r="DZ193" s="1064">
        <f>+DY193-D193</f>
        <v>0</v>
      </c>
      <c r="EA193" s="912" t="str">
        <f>VLOOKUP(POA!$B193,INTERPLAN,28,0)</f>
        <v>N/A</v>
      </c>
      <c r="EB193" s="912" t="e">
        <f>+EDATE(EA193,C193)</f>
        <v>#VALUE!</v>
      </c>
      <c r="EC193" s="912" t="e">
        <f>EB193+30</f>
        <v>#VALUE!</v>
      </c>
      <c r="ED193" s="912" t="e">
        <f>CONCATENATE(MONTH(EA193),"-",YEAR(EA193))</f>
        <v>#VALUE!</v>
      </c>
      <c r="EE193" s="912" t="e">
        <f>CONCATENATE(MONTH(EB193),"-",YEAR(EB193))</f>
        <v>#VALUE!</v>
      </c>
      <c r="EF193" s="914" t="e">
        <f>CONCATENATE(MONTH(EC193),"-",YEAR(EC193))</f>
        <v>#VALUE!</v>
      </c>
      <c r="EG193" s="1111" t="e">
        <f>+DW193/DX193</f>
        <v>#DIV/0!</v>
      </c>
      <c r="EI193" s="858">
        <f>+DW193+DW194+DW195</f>
        <v>0</v>
      </c>
      <c r="EJ193" s="877">
        <f>+D193/1000000-EI193</f>
        <v>0</v>
      </c>
      <c r="ER193" s="497"/>
    </row>
    <row r="194" spans="1:169" s="278" customFormat="1" outlineLevel="2" x14ac:dyDescent="0.2">
      <c r="A194" s="938"/>
      <c r="B194" s="944"/>
      <c r="C194" s="944"/>
      <c r="D194" s="947"/>
      <c r="E194" s="867"/>
      <c r="F194" s="311" t="s">
        <v>210</v>
      </c>
      <c r="G194" s="363">
        <v>0</v>
      </c>
      <c r="H194" s="363">
        <v>0</v>
      </c>
      <c r="I194" s="363">
        <v>0</v>
      </c>
      <c r="J194" s="363">
        <v>0</v>
      </c>
      <c r="K194" s="363">
        <v>0</v>
      </c>
      <c r="L194" s="363">
        <v>0</v>
      </c>
      <c r="M194" s="363">
        <v>0</v>
      </c>
      <c r="N194" s="363">
        <v>0</v>
      </c>
      <c r="O194" s="363">
        <v>0</v>
      </c>
      <c r="P194" s="363">
        <v>0</v>
      </c>
      <c r="Q194" s="363">
        <v>0</v>
      </c>
      <c r="R194" s="363">
        <v>0</v>
      </c>
      <c r="S194" s="363">
        <v>0</v>
      </c>
      <c r="T194" s="363">
        <v>0</v>
      </c>
      <c r="U194" s="363">
        <v>0</v>
      </c>
      <c r="V194" s="363">
        <v>0</v>
      </c>
      <c r="W194" s="363">
        <v>0</v>
      </c>
      <c r="X194" s="363">
        <v>0</v>
      </c>
      <c r="Y194" s="363">
        <v>0</v>
      </c>
      <c r="Z194" s="363">
        <v>0</v>
      </c>
      <c r="AA194" s="363">
        <v>0</v>
      </c>
      <c r="AB194" s="363">
        <v>0</v>
      </c>
      <c r="AC194" s="363">
        <v>0</v>
      </c>
      <c r="AD194" s="363">
        <v>0</v>
      </c>
      <c r="AE194" s="363">
        <v>0</v>
      </c>
      <c r="AF194" s="363">
        <v>0</v>
      </c>
      <c r="AG194" s="363">
        <v>0</v>
      </c>
      <c r="AH194" s="363">
        <v>0</v>
      </c>
      <c r="AI194" s="363">
        <v>0</v>
      </c>
      <c r="AJ194" s="363">
        <v>0</v>
      </c>
      <c r="AK194" s="363">
        <v>0</v>
      </c>
      <c r="AL194" s="363">
        <v>0</v>
      </c>
      <c r="AM194" s="363">
        <v>0</v>
      </c>
      <c r="AN194" s="363">
        <v>0</v>
      </c>
      <c r="AO194" s="363">
        <v>0</v>
      </c>
      <c r="AP194" s="363">
        <v>0</v>
      </c>
      <c r="AQ194" s="363">
        <v>0</v>
      </c>
      <c r="AR194" s="363">
        <v>0</v>
      </c>
      <c r="AS194" s="363">
        <v>0</v>
      </c>
      <c r="AT194" s="363">
        <v>0</v>
      </c>
      <c r="AU194" s="363">
        <v>0</v>
      </c>
      <c r="AV194" s="363">
        <v>0</v>
      </c>
      <c r="AW194" s="363">
        <v>0</v>
      </c>
      <c r="AX194" s="363">
        <v>0</v>
      </c>
      <c r="AY194" s="363">
        <v>0</v>
      </c>
      <c r="AZ194" s="363">
        <v>0</v>
      </c>
      <c r="BA194" s="363">
        <v>0</v>
      </c>
      <c r="BB194" s="363">
        <v>0</v>
      </c>
      <c r="BC194" s="363">
        <v>0</v>
      </c>
      <c r="BD194" s="363">
        <v>0</v>
      </c>
      <c r="BE194" s="363">
        <v>0</v>
      </c>
      <c r="BF194" s="363">
        <v>0</v>
      </c>
      <c r="BG194" s="363">
        <v>0</v>
      </c>
      <c r="BH194" s="363">
        <v>0</v>
      </c>
      <c r="BI194" s="363">
        <v>0</v>
      </c>
      <c r="BJ194" s="363">
        <v>0</v>
      </c>
      <c r="BK194" s="363">
        <v>0</v>
      </c>
      <c r="BL194" s="363">
        <v>0</v>
      </c>
      <c r="BM194" s="363">
        <v>0</v>
      </c>
      <c r="BN194" s="363">
        <v>0</v>
      </c>
      <c r="BO194" s="363">
        <v>0</v>
      </c>
      <c r="BP194" s="363">
        <v>0</v>
      </c>
      <c r="BQ194" s="363">
        <v>0</v>
      </c>
      <c r="BR194" s="363">
        <v>0</v>
      </c>
      <c r="BS194" s="363">
        <v>0</v>
      </c>
      <c r="BT194" s="363">
        <v>0</v>
      </c>
      <c r="BU194" s="363">
        <v>0</v>
      </c>
      <c r="BV194" s="363">
        <v>0</v>
      </c>
      <c r="BW194" s="363">
        <v>0</v>
      </c>
      <c r="BX194" s="363">
        <v>0</v>
      </c>
      <c r="BY194" s="363">
        <v>0</v>
      </c>
      <c r="BZ194" s="363">
        <v>0</v>
      </c>
      <c r="CA194" s="363">
        <v>0</v>
      </c>
      <c r="CB194" s="363">
        <v>0</v>
      </c>
      <c r="CC194" s="363">
        <v>0</v>
      </c>
      <c r="CD194" s="363">
        <v>0</v>
      </c>
      <c r="CE194" s="363">
        <v>0</v>
      </c>
      <c r="CF194" s="363">
        <v>0</v>
      </c>
      <c r="CG194" s="363">
        <v>0</v>
      </c>
      <c r="CH194" s="363">
        <v>0</v>
      </c>
      <c r="CI194" s="363">
        <v>0</v>
      </c>
      <c r="CJ194" s="363">
        <v>0</v>
      </c>
      <c r="CK194" s="363">
        <v>0</v>
      </c>
      <c r="CL194" s="363">
        <v>0</v>
      </c>
      <c r="CM194" s="363">
        <v>0</v>
      </c>
      <c r="CN194" s="363">
        <v>0</v>
      </c>
      <c r="CO194" s="363">
        <v>0</v>
      </c>
      <c r="CP194" s="363">
        <v>0</v>
      </c>
      <c r="CQ194" s="363">
        <v>0</v>
      </c>
      <c r="CR194" s="363">
        <v>0</v>
      </c>
      <c r="CS194" s="363">
        <v>0</v>
      </c>
      <c r="CT194" s="363">
        <v>0</v>
      </c>
      <c r="CU194" s="363">
        <v>0</v>
      </c>
      <c r="CV194" s="363">
        <v>0</v>
      </c>
      <c r="CW194" s="363">
        <v>0</v>
      </c>
      <c r="CX194" s="363">
        <v>0</v>
      </c>
      <c r="CY194" s="363">
        <v>0</v>
      </c>
      <c r="CZ194" s="363"/>
      <c r="DA194" s="363"/>
      <c r="DB194" s="363"/>
      <c r="DC194" s="363"/>
      <c r="DD194" s="363"/>
      <c r="DE194" s="363"/>
      <c r="DF194" s="363"/>
      <c r="DG194" s="363"/>
      <c r="DH194" s="363"/>
      <c r="DI194" s="363"/>
      <c r="DJ194" s="363"/>
      <c r="DK194" s="363"/>
      <c r="DL194" s="363"/>
      <c r="DM194" s="363">
        <v>0</v>
      </c>
      <c r="DN194" s="363">
        <v>0</v>
      </c>
      <c r="DO194" s="363">
        <v>0</v>
      </c>
      <c r="DP194" s="363">
        <v>0</v>
      </c>
      <c r="DQ194" s="363">
        <v>0</v>
      </c>
      <c r="DR194" s="363">
        <v>0</v>
      </c>
      <c r="DS194" s="363">
        <v>0</v>
      </c>
      <c r="DT194" s="363">
        <v>0</v>
      </c>
      <c r="DU194" s="363">
        <v>0</v>
      </c>
      <c r="DV194" s="363">
        <v>0</v>
      </c>
      <c r="DW194" s="363">
        <f t="shared" si="23"/>
        <v>0</v>
      </c>
      <c r="DX194" s="919"/>
      <c r="DY194" s="713"/>
      <c r="DZ194" s="1065"/>
      <c r="EA194" s="859"/>
      <c r="EB194" s="859"/>
      <c r="EC194" s="859"/>
      <c r="ED194" s="859"/>
      <c r="EE194" s="859"/>
      <c r="EF194" s="861"/>
      <c r="EG194" s="1112"/>
      <c r="EI194" s="858"/>
      <c r="EJ194" s="877"/>
      <c r="ER194" s="497"/>
    </row>
    <row r="195" spans="1:169" s="278" customFormat="1" ht="45" customHeight="1" outlineLevel="2" thickBot="1" x14ac:dyDescent="0.25">
      <c r="A195" s="992"/>
      <c r="B195" s="945"/>
      <c r="C195" s="945"/>
      <c r="D195" s="948"/>
      <c r="E195" s="868"/>
      <c r="F195" s="315" t="s">
        <v>211</v>
      </c>
      <c r="G195" s="364">
        <v>0</v>
      </c>
      <c r="H195" s="364">
        <v>0</v>
      </c>
      <c r="I195" s="364">
        <v>0</v>
      </c>
      <c r="J195" s="364">
        <v>0</v>
      </c>
      <c r="K195" s="364">
        <v>0</v>
      </c>
      <c r="L195" s="364">
        <v>0</v>
      </c>
      <c r="M195" s="364">
        <v>0</v>
      </c>
      <c r="N195" s="364">
        <v>0</v>
      </c>
      <c r="O195" s="364">
        <v>0</v>
      </c>
      <c r="P195" s="364">
        <v>0</v>
      </c>
      <c r="Q195" s="364">
        <v>0</v>
      </c>
      <c r="R195" s="364">
        <v>0</v>
      </c>
      <c r="S195" s="364">
        <v>0</v>
      </c>
      <c r="T195" s="364">
        <v>0</v>
      </c>
      <c r="U195" s="364">
        <v>0</v>
      </c>
      <c r="V195" s="364">
        <v>0</v>
      </c>
      <c r="W195" s="364">
        <v>0</v>
      </c>
      <c r="X195" s="364">
        <v>0</v>
      </c>
      <c r="Y195" s="364">
        <v>0</v>
      </c>
      <c r="Z195" s="364">
        <v>0</v>
      </c>
      <c r="AA195" s="364">
        <v>0</v>
      </c>
      <c r="AB195" s="364">
        <v>0</v>
      </c>
      <c r="AC195" s="364">
        <v>0</v>
      </c>
      <c r="AD195" s="364">
        <v>0</v>
      </c>
      <c r="AE195" s="364">
        <v>0</v>
      </c>
      <c r="AF195" s="364">
        <v>0</v>
      </c>
      <c r="AG195" s="364">
        <v>0</v>
      </c>
      <c r="AH195" s="364">
        <v>0</v>
      </c>
      <c r="AI195" s="364">
        <v>0</v>
      </c>
      <c r="AJ195" s="364">
        <v>0</v>
      </c>
      <c r="AK195" s="364">
        <v>0</v>
      </c>
      <c r="AL195" s="364">
        <v>0</v>
      </c>
      <c r="AM195" s="364">
        <v>0</v>
      </c>
      <c r="AN195" s="364">
        <v>0</v>
      </c>
      <c r="AO195" s="364">
        <v>0</v>
      </c>
      <c r="AP195" s="364">
        <v>0</v>
      </c>
      <c r="AQ195" s="364">
        <v>0</v>
      </c>
      <c r="AR195" s="364">
        <v>0</v>
      </c>
      <c r="AS195" s="364">
        <v>0</v>
      </c>
      <c r="AT195" s="364">
        <v>0</v>
      </c>
      <c r="AU195" s="364">
        <v>0</v>
      </c>
      <c r="AV195" s="364">
        <v>0</v>
      </c>
      <c r="AW195" s="364">
        <v>0</v>
      </c>
      <c r="AX195" s="364">
        <v>0</v>
      </c>
      <c r="AY195" s="364">
        <v>0</v>
      </c>
      <c r="AZ195" s="364">
        <v>0</v>
      </c>
      <c r="BA195" s="364">
        <v>0</v>
      </c>
      <c r="BB195" s="364">
        <v>0</v>
      </c>
      <c r="BC195" s="364">
        <v>0</v>
      </c>
      <c r="BD195" s="364">
        <v>0</v>
      </c>
      <c r="BE195" s="364">
        <v>0</v>
      </c>
      <c r="BF195" s="364">
        <v>0</v>
      </c>
      <c r="BG195" s="364">
        <v>0</v>
      </c>
      <c r="BH195" s="364">
        <v>0</v>
      </c>
      <c r="BI195" s="364">
        <v>0</v>
      </c>
      <c r="BJ195" s="364">
        <v>0</v>
      </c>
      <c r="BK195" s="364">
        <v>0</v>
      </c>
      <c r="BL195" s="364">
        <v>0</v>
      </c>
      <c r="BM195" s="364">
        <v>0</v>
      </c>
      <c r="BN195" s="364">
        <v>0</v>
      </c>
      <c r="BO195" s="364">
        <v>0</v>
      </c>
      <c r="BP195" s="364">
        <v>0</v>
      </c>
      <c r="BQ195" s="364">
        <v>0</v>
      </c>
      <c r="BR195" s="364">
        <v>0</v>
      </c>
      <c r="BS195" s="364">
        <v>0</v>
      </c>
      <c r="BT195" s="364">
        <v>0</v>
      </c>
      <c r="BU195" s="364">
        <v>0</v>
      </c>
      <c r="BV195" s="364">
        <v>0</v>
      </c>
      <c r="BW195" s="364">
        <v>0</v>
      </c>
      <c r="BX195" s="364">
        <v>0</v>
      </c>
      <c r="BY195" s="364">
        <v>0</v>
      </c>
      <c r="BZ195" s="364">
        <v>0</v>
      </c>
      <c r="CA195" s="364">
        <v>0</v>
      </c>
      <c r="CB195" s="364">
        <v>0</v>
      </c>
      <c r="CC195" s="364">
        <v>0</v>
      </c>
      <c r="CD195" s="364">
        <v>0</v>
      </c>
      <c r="CE195" s="364">
        <v>0</v>
      </c>
      <c r="CF195" s="364">
        <v>0</v>
      </c>
      <c r="CG195" s="364">
        <v>0</v>
      </c>
      <c r="CH195" s="364">
        <v>0</v>
      </c>
      <c r="CI195" s="364">
        <v>0</v>
      </c>
      <c r="CJ195" s="364">
        <v>0</v>
      </c>
      <c r="CK195" s="364">
        <v>0</v>
      </c>
      <c r="CL195" s="364">
        <v>0</v>
      </c>
      <c r="CM195" s="364">
        <v>0</v>
      </c>
      <c r="CN195" s="364">
        <v>0</v>
      </c>
      <c r="CO195" s="364">
        <v>0</v>
      </c>
      <c r="CP195" s="364">
        <v>0</v>
      </c>
      <c r="CQ195" s="364">
        <v>0</v>
      </c>
      <c r="CR195" s="364">
        <v>0</v>
      </c>
      <c r="CS195" s="364">
        <v>0</v>
      </c>
      <c r="CT195" s="364">
        <v>0</v>
      </c>
      <c r="CU195" s="364">
        <v>0</v>
      </c>
      <c r="CV195" s="364">
        <v>0</v>
      </c>
      <c r="CW195" s="364">
        <v>0</v>
      </c>
      <c r="CX195" s="364">
        <v>0</v>
      </c>
      <c r="CY195" s="364">
        <v>0</v>
      </c>
      <c r="CZ195" s="364"/>
      <c r="DA195" s="364"/>
      <c r="DB195" s="364"/>
      <c r="DC195" s="364"/>
      <c r="DD195" s="364"/>
      <c r="DE195" s="364"/>
      <c r="DF195" s="364"/>
      <c r="DG195" s="364"/>
      <c r="DH195" s="364"/>
      <c r="DI195" s="364"/>
      <c r="DJ195" s="364"/>
      <c r="DK195" s="364"/>
      <c r="DL195" s="364"/>
      <c r="DM195" s="364">
        <v>0</v>
      </c>
      <c r="DN195" s="364">
        <v>0</v>
      </c>
      <c r="DO195" s="364">
        <v>0</v>
      </c>
      <c r="DP195" s="364">
        <v>0</v>
      </c>
      <c r="DQ195" s="364">
        <v>0</v>
      </c>
      <c r="DR195" s="364">
        <v>0</v>
      </c>
      <c r="DS195" s="364">
        <v>0</v>
      </c>
      <c r="DT195" s="364">
        <v>0</v>
      </c>
      <c r="DU195" s="364">
        <v>0</v>
      </c>
      <c r="DV195" s="364">
        <v>0</v>
      </c>
      <c r="DW195" s="364">
        <f t="shared" si="23"/>
        <v>0</v>
      </c>
      <c r="DX195" s="968"/>
      <c r="DY195" s="704"/>
      <c r="DZ195" s="1066"/>
      <c r="EA195" s="860"/>
      <c r="EB195" s="860"/>
      <c r="EC195" s="860"/>
      <c r="ED195" s="860"/>
      <c r="EE195" s="860"/>
      <c r="EF195" s="862"/>
      <c r="EG195" s="1113" t="e">
        <f>+DW195/DX193</f>
        <v>#DIV/0!</v>
      </c>
      <c r="EI195" s="858"/>
      <c r="EJ195" s="877"/>
      <c r="ER195" s="497"/>
    </row>
    <row r="196" spans="1:169" s="278" customFormat="1" ht="12" customHeight="1" outlineLevel="2" x14ac:dyDescent="0.2">
      <c r="A196" s="937" t="s">
        <v>618</v>
      </c>
      <c r="B196" s="963" t="s">
        <v>187</v>
      </c>
      <c r="C196" s="963">
        <f>+C181</f>
        <v>8</v>
      </c>
      <c r="D196" s="957">
        <f>+IFERROR(VLOOKUP(B196,'Detalle Plan de Adquisiciones'!$G$53:$L$153,6,FALSE),0)</f>
        <v>231557690</v>
      </c>
      <c r="E196" s="866" t="str">
        <f>+'Detalle Plan de Adquisiciones'!F135</f>
        <v>INTERVENTORÍA TÉCNICA, ADMINISTRATIVA, FINANCIERA Y AMBIENTAL AL CONTRATO CUYO OBJETO ES: PUNTO DE CENTRALIZACIÓN BARRIO LA CASTELLANA</v>
      </c>
      <c r="F196" s="312" t="s">
        <v>410</v>
      </c>
      <c r="G196" s="354">
        <v>0</v>
      </c>
      <c r="H196" s="354">
        <v>0</v>
      </c>
      <c r="I196" s="354">
        <v>0</v>
      </c>
      <c r="J196" s="354">
        <v>0</v>
      </c>
      <c r="K196" s="354">
        <v>0</v>
      </c>
      <c r="L196" s="354">
        <v>0</v>
      </c>
      <c r="M196" s="354">
        <v>0</v>
      </c>
      <c r="N196" s="354">
        <v>0</v>
      </c>
      <c r="O196" s="354">
        <v>0</v>
      </c>
      <c r="P196" s="354">
        <v>0</v>
      </c>
      <c r="Q196" s="354">
        <v>0</v>
      </c>
      <c r="R196" s="354">
        <v>0</v>
      </c>
      <c r="S196" s="354">
        <v>0</v>
      </c>
      <c r="T196" s="354">
        <v>0</v>
      </c>
      <c r="U196" s="354">
        <v>0</v>
      </c>
      <c r="V196" s="354">
        <v>0</v>
      </c>
      <c r="W196" s="354">
        <v>0</v>
      </c>
      <c r="X196" s="354">
        <v>0</v>
      </c>
      <c r="Y196" s="354">
        <v>0</v>
      </c>
      <c r="Z196" s="354">
        <v>0</v>
      </c>
      <c r="AA196" s="354">
        <v>0</v>
      </c>
      <c r="AB196" s="354">
        <v>0</v>
      </c>
      <c r="AC196" s="354">
        <v>0</v>
      </c>
      <c r="AD196" s="354">
        <v>0</v>
      </c>
      <c r="AE196" s="354">
        <v>0</v>
      </c>
      <c r="AF196" s="354">
        <v>0</v>
      </c>
      <c r="AG196" s="354">
        <v>0</v>
      </c>
      <c r="AH196" s="354">
        <v>0</v>
      </c>
      <c r="AI196" s="354">
        <v>0</v>
      </c>
      <c r="AJ196" s="354">
        <v>0</v>
      </c>
      <c r="AK196" s="354">
        <v>0</v>
      </c>
      <c r="AL196" s="354">
        <v>0</v>
      </c>
      <c r="AM196" s="354">
        <v>0</v>
      </c>
      <c r="AN196" s="354">
        <v>0</v>
      </c>
      <c r="AO196" s="354">
        <v>0</v>
      </c>
      <c r="AP196" s="354">
        <v>0</v>
      </c>
      <c r="AQ196" s="354">
        <v>0</v>
      </c>
      <c r="AR196" s="354">
        <v>0</v>
      </c>
      <c r="AS196" s="354">
        <v>0</v>
      </c>
      <c r="AT196" s="354">
        <v>0</v>
      </c>
      <c r="AU196" s="354">
        <v>0</v>
      </c>
      <c r="AV196" s="354">
        <v>0</v>
      </c>
      <c r="AW196" s="354">
        <v>0</v>
      </c>
      <c r="AX196" s="354">
        <v>0</v>
      </c>
      <c r="AY196" s="354">
        <v>0</v>
      </c>
      <c r="AZ196" s="354">
        <v>0</v>
      </c>
      <c r="BA196" s="354">
        <v>0</v>
      </c>
      <c r="BB196" s="354">
        <v>0</v>
      </c>
      <c r="BC196" s="354">
        <v>0</v>
      </c>
      <c r="BD196" s="354">
        <v>0</v>
      </c>
      <c r="BE196" s="354">
        <v>0</v>
      </c>
      <c r="BF196" s="354">
        <v>0</v>
      </c>
      <c r="BG196" s="354">
        <v>0</v>
      </c>
      <c r="BH196" s="354">
        <v>0</v>
      </c>
      <c r="BI196" s="354">
        <v>0</v>
      </c>
      <c r="BJ196" s="354">
        <v>0</v>
      </c>
      <c r="BK196" s="354">
        <v>0</v>
      </c>
      <c r="BL196" s="354">
        <v>0</v>
      </c>
      <c r="BM196" s="354">
        <v>0</v>
      </c>
      <c r="BN196" s="354">
        <v>0</v>
      </c>
      <c r="BO196" s="354">
        <v>0</v>
      </c>
      <c r="BP196" s="354">
        <v>0</v>
      </c>
      <c r="BQ196" s="354">
        <v>0</v>
      </c>
      <c r="BR196" s="354">
        <v>0</v>
      </c>
      <c r="BS196" s="354">
        <v>0</v>
      </c>
      <c r="BT196" s="354">
        <v>0</v>
      </c>
      <c r="BU196" s="354">
        <v>0</v>
      </c>
      <c r="BV196" s="354">
        <v>0</v>
      </c>
      <c r="BW196" s="354">
        <v>0</v>
      </c>
      <c r="BX196" s="354">
        <v>0</v>
      </c>
      <c r="BY196" s="354">
        <v>0</v>
      </c>
      <c r="BZ196" s="354">
        <v>0</v>
      </c>
      <c r="CA196" s="354">
        <v>0</v>
      </c>
      <c r="CB196" s="354">
        <v>0</v>
      </c>
      <c r="CC196" s="354">
        <v>0</v>
      </c>
      <c r="CD196" s="354">
        <v>0</v>
      </c>
      <c r="CE196" s="354">
        <v>0</v>
      </c>
      <c r="CF196" s="354">
        <v>0</v>
      </c>
      <c r="CG196" s="354">
        <v>0</v>
      </c>
      <c r="CH196" s="354">
        <v>0</v>
      </c>
      <c r="CI196" s="354">
        <v>0</v>
      </c>
      <c r="CJ196" s="354">
        <v>0</v>
      </c>
      <c r="CK196" s="354">
        <v>0</v>
      </c>
      <c r="CL196" s="354">
        <v>0</v>
      </c>
      <c r="CM196" s="354">
        <v>0</v>
      </c>
      <c r="CN196" s="354">
        <v>0</v>
      </c>
      <c r="CO196" s="354">
        <v>0</v>
      </c>
      <c r="CP196" s="354">
        <v>0</v>
      </c>
      <c r="CQ196" s="354">
        <v>0</v>
      </c>
      <c r="CR196" s="354">
        <v>0</v>
      </c>
      <c r="CS196" s="354">
        <v>0</v>
      </c>
      <c r="CT196" s="354">
        <v>0</v>
      </c>
      <c r="CU196" s="354">
        <v>0</v>
      </c>
      <c r="CV196" s="354">
        <v>0</v>
      </c>
      <c r="CW196" s="354">
        <v>0</v>
      </c>
      <c r="CX196" s="354">
        <v>0</v>
      </c>
      <c r="CY196" s="354">
        <v>0</v>
      </c>
      <c r="CZ196" s="354"/>
      <c r="DA196" s="354"/>
      <c r="DB196" s="354"/>
      <c r="DC196" s="354"/>
      <c r="DD196" s="354"/>
      <c r="DE196" s="354"/>
      <c r="DF196" s="354"/>
      <c r="DG196" s="354"/>
      <c r="DH196" s="354"/>
      <c r="DI196" s="354"/>
      <c r="DJ196" s="354"/>
      <c r="DK196" s="354"/>
      <c r="DL196" s="354">
        <f>(($D$196*0.8)/1000000)/7</f>
        <v>26.463736000000001</v>
      </c>
      <c r="DM196" s="354">
        <f t="shared" ref="DM196:DR196" si="29">(($D$196*0.8)/1000000)/7</f>
        <v>26.463736000000001</v>
      </c>
      <c r="DN196" s="354">
        <f t="shared" si="29"/>
        <v>26.463736000000001</v>
      </c>
      <c r="DO196" s="354">
        <f t="shared" si="29"/>
        <v>26.463736000000001</v>
      </c>
      <c r="DP196" s="354">
        <f t="shared" si="29"/>
        <v>26.463736000000001</v>
      </c>
      <c r="DQ196" s="354">
        <f t="shared" si="29"/>
        <v>26.463736000000001</v>
      </c>
      <c r="DR196" s="354">
        <f t="shared" si="29"/>
        <v>26.463736000000001</v>
      </c>
      <c r="DS196" s="354">
        <v>31.350847999999999</v>
      </c>
      <c r="DT196" s="354">
        <v>0</v>
      </c>
      <c r="DU196" s="354">
        <v>0</v>
      </c>
      <c r="DV196" s="354">
        <v>0</v>
      </c>
      <c r="DW196" s="354">
        <f t="shared" si="23"/>
        <v>216.59700000000004</v>
      </c>
      <c r="DX196" s="918">
        <f>DW196+DW197+DW198</f>
        <v>231.55768999999964</v>
      </c>
      <c r="DY196" s="712">
        <f>+DX196*1000000</f>
        <v>231557689.99999964</v>
      </c>
      <c r="DZ196" s="921">
        <f>+DY196-D196</f>
        <v>-3.5762786865234375E-7</v>
      </c>
      <c r="EA196" s="912">
        <f>VLOOKUP(POA!$B196,INTERPLAN,28,0)</f>
        <v>43444</v>
      </c>
      <c r="EB196" s="912">
        <f>+EDATE(EA196,C196)</f>
        <v>43687</v>
      </c>
      <c r="EC196" s="912">
        <f>EB196+30</f>
        <v>43717</v>
      </c>
      <c r="ED196" s="912" t="str">
        <f>CONCATENATE(MONTH(EA196),"-",YEAR(EA196))</f>
        <v>12-2018</v>
      </c>
      <c r="EE196" s="912" t="str">
        <f>CONCATENATE(MONTH(EB196),"-",YEAR(EB196))</f>
        <v>8-2019</v>
      </c>
      <c r="EF196" s="914" t="str">
        <f>CONCATENATE(MONTH(EC196),"-",YEAR(EC196))</f>
        <v>9-2019</v>
      </c>
      <c r="EG196" s="1111">
        <f>+DW196/DX196</f>
        <v>0.93539108979710572</v>
      </c>
      <c r="EI196" s="858">
        <f>+DW196+DW197+DW198</f>
        <v>231.55768999999964</v>
      </c>
      <c r="EJ196" s="877">
        <f>+D196/1000000-EI196</f>
        <v>3.694822225952521E-13</v>
      </c>
      <c r="ER196" s="497"/>
    </row>
    <row r="197" spans="1:169" s="278" customFormat="1" ht="12" customHeight="1" outlineLevel="2" x14ac:dyDescent="0.2">
      <c r="A197" s="938"/>
      <c r="B197" s="944"/>
      <c r="C197" s="944"/>
      <c r="D197" s="958"/>
      <c r="E197" s="867"/>
      <c r="F197" s="311" t="s">
        <v>210</v>
      </c>
      <c r="G197" s="363">
        <v>0</v>
      </c>
      <c r="H197" s="363">
        <v>0</v>
      </c>
      <c r="I197" s="363">
        <v>0</v>
      </c>
      <c r="J197" s="363">
        <v>0</v>
      </c>
      <c r="K197" s="363">
        <v>0</v>
      </c>
      <c r="L197" s="363">
        <v>0</v>
      </c>
      <c r="M197" s="363">
        <v>0</v>
      </c>
      <c r="N197" s="363">
        <v>0</v>
      </c>
      <c r="O197" s="363">
        <v>0</v>
      </c>
      <c r="P197" s="363">
        <v>0</v>
      </c>
      <c r="Q197" s="363">
        <v>0</v>
      </c>
      <c r="R197" s="363">
        <v>0</v>
      </c>
      <c r="S197" s="363">
        <v>0</v>
      </c>
      <c r="T197" s="363">
        <v>0</v>
      </c>
      <c r="U197" s="363">
        <v>0</v>
      </c>
      <c r="V197" s="363">
        <v>0</v>
      </c>
      <c r="W197" s="363">
        <v>0</v>
      </c>
      <c r="X197" s="363">
        <v>0</v>
      </c>
      <c r="Y197" s="363">
        <v>0</v>
      </c>
      <c r="Z197" s="363">
        <v>0</v>
      </c>
      <c r="AA197" s="363">
        <v>0</v>
      </c>
      <c r="AB197" s="363">
        <v>0</v>
      </c>
      <c r="AC197" s="363">
        <v>0</v>
      </c>
      <c r="AD197" s="363">
        <v>0</v>
      </c>
      <c r="AE197" s="363">
        <v>0</v>
      </c>
      <c r="AF197" s="363">
        <v>0</v>
      </c>
      <c r="AG197" s="363">
        <v>0</v>
      </c>
      <c r="AH197" s="363">
        <v>0</v>
      </c>
      <c r="AI197" s="363">
        <v>0</v>
      </c>
      <c r="AJ197" s="363">
        <v>0</v>
      </c>
      <c r="AK197" s="363">
        <v>0</v>
      </c>
      <c r="AL197" s="363">
        <v>0</v>
      </c>
      <c r="AM197" s="363">
        <v>0</v>
      </c>
      <c r="AN197" s="363">
        <v>0</v>
      </c>
      <c r="AO197" s="363">
        <v>0</v>
      </c>
      <c r="AP197" s="363">
        <v>0</v>
      </c>
      <c r="AQ197" s="363">
        <v>0</v>
      </c>
      <c r="AR197" s="363">
        <v>0</v>
      </c>
      <c r="AS197" s="363">
        <v>0</v>
      </c>
      <c r="AT197" s="363">
        <v>0</v>
      </c>
      <c r="AU197" s="363">
        <v>0</v>
      </c>
      <c r="AV197" s="363">
        <v>0</v>
      </c>
      <c r="AW197" s="363">
        <v>0</v>
      </c>
      <c r="AX197" s="363">
        <v>0</v>
      </c>
      <c r="AY197" s="363">
        <v>0</v>
      </c>
      <c r="AZ197" s="363">
        <v>0</v>
      </c>
      <c r="BA197" s="363">
        <v>0</v>
      </c>
      <c r="BB197" s="363">
        <v>0</v>
      </c>
      <c r="BC197" s="363">
        <v>0</v>
      </c>
      <c r="BD197" s="363">
        <v>0</v>
      </c>
      <c r="BE197" s="363">
        <v>0</v>
      </c>
      <c r="BF197" s="363">
        <v>0</v>
      </c>
      <c r="BG197" s="363">
        <v>0</v>
      </c>
      <c r="BH197" s="363">
        <v>0</v>
      </c>
      <c r="BI197" s="363">
        <v>0</v>
      </c>
      <c r="BJ197" s="363">
        <v>0</v>
      </c>
      <c r="BK197" s="363">
        <v>0</v>
      </c>
      <c r="BL197" s="363">
        <v>0</v>
      </c>
      <c r="BM197" s="363">
        <v>0</v>
      </c>
      <c r="BN197" s="363">
        <v>0</v>
      </c>
      <c r="BO197" s="363">
        <v>0</v>
      </c>
      <c r="BP197" s="363">
        <v>0</v>
      </c>
      <c r="BQ197" s="363">
        <v>0</v>
      </c>
      <c r="BR197" s="363">
        <v>0</v>
      </c>
      <c r="BS197" s="363">
        <v>0</v>
      </c>
      <c r="BT197" s="363">
        <v>0</v>
      </c>
      <c r="BU197" s="363">
        <v>0</v>
      </c>
      <c r="BV197" s="363">
        <v>0</v>
      </c>
      <c r="BW197" s="363">
        <v>0</v>
      </c>
      <c r="BX197" s="363">
        <v>0</v>
      </c>
      <c r="BY197" s="363">
        <v>0</v>
      </c>
      <c r="BZ197" s="363">
        <v>0</v>
      </c>
      <c r="CA197" s="363">
        <v>0</v>
      </c>
      <c r="CB197" s="363">
        <v>0</v>
      </c>
      <c r="CC197" s="363">
        <v>0</v>
      </c>
      <c r="CD197" s="363">
        <v>0</v>
      </c>
      <c r="CE197" s="363">
        <v>0</v>
      </c>
      <c r="CF197" s="363">
        <v>0</v>
      </c>
      <c r="CG197" s="363">
        <v>0</v>
      </c>
      <c r="CH197" s="363">
        <v>0</v>
      </c>
      <c r="CI197" s="363">
        <v>0</v>
      </c>
      <c r="CJ197" s="363">
        <v>0</v>
      </c>
      <c r="CK197" s="363">
        <v>0</v>
      </c>
      <c r="CL197" s="363">
        <v>0</v>
      </c>
      <c r="CM197" s="363">
        <v>0</v>
      </c>
      <c r="CN197" s="363">
        <v>0</v>
      </c>
      <c r="CO197" s="363">
        <v>0</v>
      </c>
      <c r="CP197" s="363">
        <v>0</v>
      </c>
      <c r="CQ197" s="363">
        <v>0</v>
      </c>
      <c r="CR197" s="363">
        <v>0</v>
      </c>
      <c r="CS197" s="363">
        <v>0</v>
      </c>
      <c r="CT197" s="363">
        <v>0</v>
      </c>
      <c r="CU197" s="363">
        <v>0</v>
      </c>
      <c r="CV197" s="363">
        <v>0</v>
      </c>
      <c r="CW197" s="363">
        <v>0</v>
      </c>
      <c r="CX197" s="363">
        <v>0</v>
      </c>
      <c r="CY197" s="363">
        <v>0</v>
      </c>
      <c r="CZ197" s="363"/>
      <c r="DA197" s="363"/>
      <c r="DB197" s="363"/>
      <c r="DC197" s="363"/>
      <c r="DD197" s="363"/>
      <c r="DE197" s="363"/>
      <c r="DF197" s="363"/>
      <c r="DG197" s="363"/>
      <c r="DH197" s="363"/>
      <c r="DI197" s="363"/>
      <c r="DJ197" s="363"/>
      <c r="DK197" s="363"/>
      <c r="DL197" s="363"/>
      <c r="DM197" s="363"/>
      <c r="DN197" s="363"/>
      <c r="DO197" s="363">
        <v>0</v>
      </c>
      <c r="DP197" s="363">
        <v>0</v>
      </c>
      <c r="DQ197" s="363">
        <v>0</v>
      </c>
      <c r="DR197" s="363">
        <v>0</v>
      </c>
      <c r="DS197" s="363">
        <v>0</v>
      </c>
      <c r="DT197" s="363">
        <v>0</v>
      </c>
      <c r="DU197" s="363">
        <v>0</v>
      </c>
      <c r="DV197" s="363">
        <v>0</v>
      </c>
      <c r="DW197" s="363">
        <f t="shared" si="23"/>
        <v>0</v>
      </c>
      <c r="DX197" s="919"/>
      <c r="DY197" s="713"/>
      <c r="DZ197" s="922"/>
      <c r="EA197" s="859"/>
      <c r="EB197" s="859"/>
      <c r="EC197" s="859"/>
      <c r="ED197" s="859"/>
      <c r="EE197" s="859"/>
      <c r="EF197" s="861"/>
      <c r="EG197" s="1112"/>
      <c r="EI197" s="858"/>
      <c r="EJ197" s="877"/>
      <c r="ER197" s="497"/>
    </row>
    <row r="198" spans="1:169" s="278" customFormat="1" ht="66" customHeight="1" outlineLevel="2" thickBot="1" x14ac:dyDescent="0.25">
      <c r="A198" s="939"/>
      <c r="B198" s="964"/>
      <c r="C198" s="964"/>
      <c r="D198" s="959"/>
      <c r="E198" s="875"/>
      <c r="F198" s="313" t="s">
        <v>211</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0</v>
      </c>
      <c r="AD198" s="387">
        <v>0</v>
      </c>
      <c r="AE198" s="387">
        <v>0</v>
      </c>
      <c r="AF198" s="387">
        <v>0</v>
      </c>
      <c r="AG198" s="387">
        <v>0</v>
      </c>
      <c r="AH198" s="387">
        <v>0</v>
      </c>
      <c r="AI198" s="387">
        <v>0</v>
      </c>
      <c r="AJ198" s="387">
        <v>0</v>
      </c>
      <c r="AK198" s="387">
        <v>0</v>
      </c>
      <c r="AL198" s="387">
        <v>0</v>
      </c>
      <c r="AM198" s="387">
        <v>0</v>
      </c>
      <c r="AN198" s="387">
        <v>0</v>
      </c>
      <c r="AO198" s="387">
        <v>0</v>
      </c>
      <c r="AP198" s="387">
        <v>0</v>
      </c>
      <c r="AQ198" s="387">
        <v>0</v>
      </c>
      <c r="AR198" s="387">
        <v>0</v>
      </c>
      <c r="AS198" s="387">
        <v>0</v>
      </c>
      <c r="AT198" s="387">
        <v>0</v>
      </c>
      <c r="AU198" s="387">
        <v>0</v>
      </c>
      <c r="AV198" s="387">
        <v>0</v>
      </c>
      <c r="AW198" s="387">
        <v>0</v>
      </c>
      <c r="AX198" s="387">
        <v>0</v>
      </c>
      <c r="AY198" s="387">
        <v>0</v>
      </c>
      <c r="AZ198" s="387">
        <v>0</v>
      </c>
      <c r="BA198" s="387">
        <v>0</v>
      </c>
      <c r="BB198" s="387">
        <v>0</v>
      </c>
      <c r="BC198" s="387">
        <v>0</v>
      </c>
      <c r="BD198" s="387">
        <v>0</v>
      </c>
      <c r="BE198" s="387">
        <v>0</v>
      </c>
      <c r="BF198" s="387">
        <v>0</v>
      </c>
      <c r="BG198" s="387">
        <v>0</v>
      </c>
      <c r="BH198" s="387">
        <v>0</v>
      </c>
      <c r="BI198" s="387">
        <v>0</v>
      </c>
      <c r="BJ198" s="387">
        <v>0</v>
      </c>
      <c r="BK198" s="387">
        <v>0</v>
      </c>
      <c r="BL198" s="387">
        <v>0</v>
      </c>
      <c r="BM198" s="387">
        <v>0</v>
      </c>
      <c r="BN198" s="387">
        <v>0</v>
      </c>
      <c r="BO198" s="387">
        <v>0</v>
      </c>
      <c r="BP198" s="387">
        <v>0</v>
      </c>
      <c r="BQ198" s="387">
        <v>0</v>
      </c>
      <c r="BR198" s="387">
        <v>0</v>
      </c>
      <c r="BS198" s="387">
        <v>0</v>
      </c>
      <c r="BT198" s="387">
        <v>0</v>
      </c>
      <c r="BU198" s="387">
        <v>0</v>
      </c>
      <c r="BV198" s="387">
        <v>0</v>
      </c>
      <c r="BW198" s="387">
        <v>0</v>
      </c>
      <c r="BX198" s="387">
        <v>0</v>
      </c>
      <c r="BY198" s="387">
        <v>0</v>
      </c>
      <c r="BZ198" s="387">
        <v>0</v>
      </c>
      <c r="CA198" s="387">
        <v>0</v>
      </c>
      <c r="CB198" s="387">
        <v>0</v>
      </c>
      <c r="CC198" s="387">
        <v>0</v>
      </c>
      <c r="CD198" s="387">
        <v>0</v>
      </c>
      <c r="CE198" s="387">
        <v>0</v>
      </c>
      <c r="CF198" s="387">
        <v>0</v>
      </c>
      <c r="CG198" s="387">
        <v>0</v>
      </c>
      <c r="CH198" s="387">
        <v>0</v>
      </c>
      <c r="CI198" s="387">
        <v>0</v>
      </c>
      <c r="CJ198" s="387">
        <v>0</v>
      </c>
      <c r="CK198" s="387">
        <v>0</v>
      </c>
      <c r="CL198" s="387">
        <v>0</v>
      </c>
      <c r="CM198" s="387">
        <v>0</v>
      </c>
      <c r="CN198" s="387">
        <v>0</v>
      </c>
      <c r="CO198" s="387">
        <v>0</v>
      </c>
      <c r="CP198" s="387">
        <v>0</v>
      </c>
      <c r="CQ198" s="387">
        <v>0</v>
      </c>
      <c r="CR198" s="387">
        <v>0</v>
      </c>
      <c r="CS198" s="387">
        <v>0</v>
      </c>
      <c r="CT198" s="387">
        <v>0</v>
      </c>
      <c r="CU198" s="387">
        <v>0</v>
      </c>
      <c r="CV198" s="387">
        <v>0</v>
      </c>
      <c r="CW198" s="387">
        <v>0</v>
      </c>
      <c r="CX198" s="387">
        <v>0</v>
      </c>
      <c r="CY198" s="387">
        <v>0</v>
      </c>
      <c r="CZ198" s="387"/>
      <c r="DA198" s="387"/>
      <c r="DB198" s="387"/>
      <c r="DC198" s="387"/>
      <c r="DD198" s="387"/>
      <c r="DE198" s="387"/>
      <c r="DF198" s="387"/>
      <c r="DG198" s="387"/>
      <c r="DH198" s="387"/>
      <c r="DI198" s="387"/>
      <c r="DJ198" s="387"/>
      <c r="DK198" s="387"/>
      <c r="DL198" s="387"/>
      <c r="DM198" s="387"/>
      <c r="DN198" s="387"/>
      <c r="DO198" s="387"/>
      <c r="DP198" s="387"/>
      <c r="DQ198" s="387"/>
      <c r="DR198" s="387">
        <v>0</v>
      </c>
      <c r="DS198" s="387">
        <v>14.960689999999589</v>
      </c>
      <c r="DT198" s="387">
        <v>0</v>
      </c>
      <c r="DU198" s="387">
        <v>0</v>
      </c>
      <c r="DV198" s="387">
        <v>0</v>
      </c>
      <c r="DW198" s="387">
        <f t="shared" si="23"/>
        <v>14.960689999999589</v>
      </c>
      <c r="DX198" s="920"/>
      <c r="DY198" s="714"/>
      <c r="DZ198" s="923"/>
      <c r="EA198" s="913"/>
      <c r="EB198" s="913"/>
      <c r="EC198" s="913"/>
      <c r="ED198" s="913"/>
      <c r="EE198" s="913"/>
      <c r="EF198" s="1067"/>
      <c r="EG198" s="1113">
        <f>+DW198/DX196</f>
        <v>6.4608910202894207E-2</v>
      </c>
      <c r="EI198" s="858"/>
      <c r="EJ198" s="877"/>
      <c r="ER198" s="497"/>
    </row>
    <row r="199" spans="1:169" s="278" customFormat="1" ht="24" outlineLevel="2" x14ac:dyDescent="0.2">
      <c r="A199" s="991" t="s">
        <v>397</v>
      </c>
      <c r="B199" s="943" t="s">
        <v>188</v>
      </c>
      <c r="C199" s="943">
        <f>+C184</f>
        <v>8</v>
      </c>
      <c r="D199" s="946">
        <f>+IFERROR(VLOOKUP(B199,'Detalle Plan de Adquisiciones'!$G$53:$L$153,6,FALSE),0)</f>
        <v>0</v>
      </c>
      <c r="E199" s="889" t="str">
        <f>+'Detalle Plan de Adquisiciones'!F136</f>
        <v>INTERVENTORÍA TÉCNICA, ADMINISTRATIVA, FINANCIERA Y AMBIENTAL AL CONTRATO CUYO OBJETO ES: PUNTO DE CENTRALIZACIÓN BARRIO MOCARÍ</v>
      </c>
      <c r="F199" s="316" t="s">
        <v>410</v>
      </c>
      <c r="G199" s="383">
        <v>0</v>
      </c>
      <c r="H199" s="383">
        <v>0</v>
      </c>
      <c r="I199" s="383">
        <v>0</v>
      </c>
      <c r="J199" s="383">
        <v>0</v>
      </c>
      <c r="K199" s="383">
        <v>0</v>
      </c>
      <c r="L199" s="383">
        <v>0</v>
      </c>
      <c r="M199" s="383">
        <v>0</v>
      </c>
      <c r="N199" s="383">
        <v>0</v>
      </c>
      <c r="O199" s="383">
        <v>0</v>
      </c>
      <c r="P199" s="383">
        <v>0</v>
      </c>
      <c r="Q199" s="383">
        <v>0</v>
      </c>
      <c r="R199" s="383">
        <v>0</v>
      </c>
      <c r="S199" s="383">
        <v>0</v>
      </c>
      <c r="T199" s="383">
        <v>0</v>
      </c>
      <c r="U199" s="383">
        <v>0</v>
      </c>
      <c r="V199" s="383">
        <v>0</v>
      </c>
      <c r="W199" s="383">
        <v>0</v>
      </c>
      <c r="X199" s="383">
        <v>0</v>
      </c>
      <c r="Y199" s="383">
        <v>0</v>
      </c>
      <c r="Z199" s="383">
        <v>0</v>
      </c>
      <c r="AA199" s="383">
        <v>0</v>
      </c>
      <c r="AB199" s="383">
        <v>0</v>
      </c>
      <c r="AC199" s="383">
        <v>0</v>
      </c>
      <c r="AD199" s="383">
        <v>0</v>
      </c>
      <c r="AE199" s="383">
        <v>0</v>
      </c>
      <c r="AF199" s="383">
        <v>0</v>
      </c>
      <c r="AG199" s="383">
        <v>0</v>
      </c>
      <c r="AH199" s="383">
        <v>0</v>
      </c>
      <c r="AI199" s="383">
        <v>0</v>
      </c>
      <c r="AJ199" s="383">
        <v>0</v>
      </c>
      <c r="AK199" s="383">
        <v>0</v>
      </c>
      <c r="AL199" s="383">
        <v>0</v>
      </c>
      <c r="AM199" s="383">
        <v>0</v>
      </c>
      <c r="AN199" s="383">
        <v>0</v>
      </c>
      <c r="AO199" s="383">
        <v>0</v>
      </c>
      <c r="AP199" s="383">
        <v>0</v>
      </c>
      <c r="AQ199" s="383">
        <v>0</v>
      </c>
      <c r="AR199" s="383">
        <v>0</v>
      </c>
      <c r="AS199" s="383">
        <v>0</v>
      </c>
      <c r="AT199" s="383">
        <v>0</v>
      </c>
      <c r="AU199" s="383">
        <v>0</v>
      </c>
      <c r="AV199" s="383">
        <v>0</v>
      </c>
      <c r="AW199" s="383">
        <v>0</v>
      </c>
      <c r="AX199" s="383">
        <v>0</v>
      </c>
      <c r="AY199" s="383">
        <v>0</v>
      </c>
      <c r="AZ199" s="383">
        <v>0</v>
      </c>
      <c r="BA199" s="383">
        <v>0</v>
      </c>
      <c r="BB199" s="383">
        <v>0</v>
      </c>
      <c r="BC199" s="383">
        <v>0</v>
      </c>
      <c r="BD199" s="383">
        <v>0</v>
      </c>
      <c r="BE199" s="383">
        <v>0</v>
      </c>
      <c r="BF199" s="383">
        <v>0</v>
      </c>
      <c r="BG199" s="383">
        <v>0</v>
      </c>
      <c r="BH199" s="383">
        <v>0</v>
      </c>
      <c r="BI199" s="383">
        <v>0</v>
      </c>
      <c r="BJ199" s="383">
        <v>0</v>
      </c>
      <c r="BK199" s="383">
        <v>0</v>
      </c>
      <c r="BL199" s="383">
        <v>0</v>
      </c>
      <c r="BM199" s="383">
        <v>0</v>
      </c>
      <c r="BN199" s="383">
        <v>0</v>
      </c>
      <c r="BO199" s="383">
        <v>0</v>
      </c>
      <c r="BP199" s="383">
        <v>0</v>
      </c>
      <c r="BQ199" s="383">
        <v>0</v>
      </c>
      <c r="BR199" s="383">
        <v>0</v>
      </c>
      <c r="BS199" s="383">
        <v>0</v>
      </c>
      <c r="BT199" s="383">
        <v>0</v>
      </c>
      <c r="BU199" s="383">
        <v>0</v>
      </c>
      <c r="BV199" s="383">
        <v>0</v>
      </c>
      <c r="BW199" s="383">
        <v>0</v>
      </c>
      <c r="BX199" s="383">
        <v>0</v>
      </c>
      <c r="BY199" s="383">
        <v>0</v>
      </c>
      <c r="BZ199" s="383">
        <v>0</v>
      </c>
      <c r="CA199" s="383">
        <v>0</v>
      </c>
      <c r="CB199" s="383">
        <v>0</v>
      </c>
      <c r="CC199" s="383">
        <v>0</v>
      </c>
      <c r="CD199" s="383">
        <v>0</v>
      </c>
      <c r="CE199" s="383">
        <v>0</v>
      </c>
      <c r="CF199" s="383">
        <v>0</v>
      </c>
      <c r="CG199" s="383">
        <v>0</v>
      </c>
      <c r="CH199" s="383">
        <v>0</v>
      </c>
      <c r="CI199" s="383">
        <v>0</v>
      </c>
      <c r="CJ199" s="383">
        <v>0</v>
      </c>
      <c r="CK199" s="383">
        <v>0</v>
      </c>
      <c r="CL199" s="383">
        <v>0</v>
      </c>
      <c r="CM199" s="383">
        <v>0</v>
      </c>
      <c r="CN199" s="383">
        <v>0</v>
      </c>
      <c r="CO199" s="383">
        <v>0</v>
      </c>
      <c r="CP199" s="383">
        <v>0</v>
      </c>
      <c r="CQ199" s="383">
        <v>0</v>
      </c>
      <c r="CR199" s="383">
        <v>0</v>
      </c>
      <c r="CS199" s="383">
        <v>0</v>
      </c>
      <c r="CT199" s="383">
        <v>0</v>
      </c>
      <c r="CU199" s="383">
        <v>0</v>
      </c>
      <c r="CV199" s="383">
        <v>0</v>
      </c>
      <c r="CW199" s="383">
        <v>0</v>
      </c>
      <c r="CX199" s="383">
        <v>0</v>
      </c>
      <c r="CY199" s="383">
        <v>0</v>
      </c>
      <c r="CZ199" s="383"/>
      <c r="DA199" s="383"/>
      <c r="DB199" s="383"/>
      <c r="DC199" s="383"/>
      <c r="DE199" s="354">
        <f t="shared" ref="DE199:DL199" si="30">($D$199/9)/1000000</f>
        <v>0</v>
      </c>
      <c r="DF199" s="354">
        <f t="shared" si="30"/>
        <v>0</v>
      </c>
      <c r="DG199" s="354">
        <f t="shared" si="30"/>
        <v>0</v>
      </c>
      <c r="DH199" s="354">
        <f t="shared" si="30"/>
        <v>0</v>
      </c>
      <c r="DI199" s="354">
        <f t="shared" si="30"/>
        <v>0</v>
      </c>
      <c r="DJ199" s="354">
        <f t="shared" si="30"/>
        <v>0</v>
      </c>
      <c r="DK199" s="354">
        <f t="shared" si="30"/>
        <v>0</v>
      </c>
      <c r="DL199" s="354">
        <f t="shared" si="30"/>
        <v>0</v>
      </c>
      <c r="DM199" s="354"/>
      <c r="DN199" s="383">
        <v>0</v>
      </c>
      <c r="DO199" s="383"/>
      <c r="DP199" s="383">
        <v>0</v>
      </c>
      <c r="DQ199" s="383">
        <v>0</v>
      </c>
      <c r="DR199" s="383">
        <v>0</v>
      </c>
      <c r="DS199" s="383">
        <v>0</v>
      </c>
      <c r="DT199" s="383">
        <v>0</v>
      </c>
      <c r="DU199" s="383">
        <v>0</v>
      </c>
      <c r="DV199" s="383">
        <v>0</v>
      </c>
      <c r="DW199" s="556">
        <f t="shared" si="23"/>
        <v>0</v>
      </c>
      <c r="DX199" s="891">
        <f>DW199+DW200+DW201</f>
        <v>0</v>
      </c>
      <c r="DY199" s="705">
        <f>+DX199*1000000</f>
        <v>0</v>
      </c>
      <c r="DZ199" s="871">
        <f>+DY199-D199</f>
        <v>0</v>
      </c>
      <c r="EA199" s="896" t="str">
        <f>VLOOKUP(POA!$B199,INTERPLAN,28,0)</f>
        <v>N/A</v>
      </c>
      <c r="EB199" s="879" t="e">
        <f>+EDATE(EA199,C199)</f>
        <v>#VALUE!</v>
      </c>
      <c r="EC199" s="879" t="e">
        <f>EB199+30</f>
        <v>#VALUE!</v>
      </c>
      <c r="ED199" s="879" t="e">
        <f>CONCATENATE(MONTH(EA199),"-",YEAR(EA199))</f>
        <v>#VALUE!</v>
      </c>
      <c r="EE199" s="879" t="e">
        <f>CONCATENATE(MONTH(EB199),"-",YEAR(EB199))</f>
        <v>#VALUE!</v>
      </c>
      <c r="EF199" s="881" t="e">
        <f>CONCATENATE(MONTH(EC199),"-",YEAR(EC199))</f>
        <v>#VALUE!</v>
      </c>
      <c r="EG199" s="1105" t="e">
        <f>+DW199/DX199</f>
        <v>#DIV/0!</v>
      </c>
      <c r="EI199" s="858">
        <f>+DW199+DW200+DW201</f>
        <v>0</v>
      </c>
      <c r="EJ199" s="877">
        <f>+D199/1000000-EI199</f>
        <v>0</v>
      </c>
      <c r="ER199" s="497"/>
    </row>
    <row r="200" spans="1:169" s="278" customFormat="1" outlineLevel="2" x14ac:dyDescent="0.2">
      <c r="A200" s="938"/>
      <c r="B200" s="944"/>
      <c r="C200" s="944"/>
      <c r="D200" s="947"/>
      <c r="E200" s="867"/>
      <c r="F200" s="311" t="s">
        <v>210</v>
      </c>
      <c r="G200" s="363">
        <v>0</v>
      </c>
      <c r="H200" s="363">
        <v>0</v>
      </c>
      <c r="I200" s="363">
        <v>0</v>
      </c>
      <c r="J200" s="363">
        <v>0</v>
      </c>
      <c r="K200" s="363">
        <v>0</v>
      </c>
      <c r="L200" s="363">
        <v>0</v>
      </c>
      <c r="M200" s="363">
        <v>0</v>
      </c>
      <c r="N200" s="363">
        <v>0</v>
      </c>
      <c r="O200" s="363">
        <v>0</v>
      </c>
      <c r="P200" s="363">
        <v>0</v>
      </c>
      <c r="Q200" s="363">
        <v>0</v>
      </c>
      <c r="R200" s="363">
        <v>0</v>
      </c>
      <c r="S200" s="363">
        <v>0</v>
      </c>
      <c r="T200" s="363">
        <v>0</v>
      </c>
      <c r="U200" s="363">
        <v>0</v>
      </c>
      <c r="V200" s="363">
        <v>0</v>
      </c>
      <c r="W200" s="363">
        <v>0</v>
      </c>
      <c r="X200" s="363">
        <v>0</v>
      </c>
      <c r="Y200" s="363">
        <v>0</v>
      </c>
      <c r="Z200" s="363">
        <v>0</v>
      </c>
      <c r="AA200" s="363">
        <v>0</v>
      </c>
      <c r="AB200" s="363">
        <v>0</v>
      </c>
      <c r="AC200" s="363">
        <v>0</v>
      </c>
      <c r="AD200" s="363">
        <v>0</v>
      </c>
      <c r="AE200" s="363">
        <v>0</v>
      </c>
      <c r="AF200" s="363">
        <v>0</v>
      </c>
      <c r="AG200" s="363">
        <v>0</v>
      </c>
      <c r="AH200" s="363">
        <v>0</v>
      </c>
      <c r="AI200" s="363">
        <v>0</v>
      </c>
      <c r="AJ200" s="363">
        <v>0</v>
      </c>
      <c r="AK200" s="363">
        <v>0</v>
      </c>
      <c r="AL200" s="363">
        <v>0</v>
      </c>
      <c r="AM200" s="363">
        <v>0</v>
      </c>
      <c r="AN200" s="363">
        <v>0</v>
      </c>
      <c r="AO200" s="363">
        <v>0</v>
      </c>
      <c r="AP200" s="363">
        <v>0</v>
      </c>
      <c r="AQ200" s="363">
        <v>0</v>
      </c>
      <c r="AR200" s="363">
        <v>0</v>
      </c>
      <c r="AS200" s="363">
        <v>0</v>
      </c>
      <c r="AT200" s="363">
        <v>0</v>
      </c>
      <c r="AU200" s="363">
        <v>0</v>
      </c>
      <c r="AV200" s="363">
        <v>0</v>
      </c>
      <c r="AW200" s="363">
        <v>0</v>
      </c>
      <c r="AX200" s="363">
        <v>0</v>
      </c>
      <c r="AY200" s="363">
        <v>0</v>
      </c>
      <c r="AZ200" s="363">
        <v>0</v>
      </c>
      <c r="BA200" s="363">
        <v>0</v>
      </c>
      <c r="BB200" s="363">
        <v>0</v>
      </c>
      <c r="BC200" s="363">
        <v>0</v>
      </c>
      <c r="BD200" s="363">
        <v>0</v>
      </c>
      <c r="BE200" s="363">
        <v>0</v>
      </c>
      <c r="BF200" s="363">
        <v>0</v>
      </c>
      <c r="BG200" s="363">
        <v>0</v>
      </c>
      <c r="BH200" s="363">
        <v>0</v>
      </c>
      <c r="BI200" s="363">
        <v>0</v>
      </c>
      <c r="BJ200" s="363">
        <v>0</v>
      </c>
      <c r="BK200" s="363">
        <v>0</v>
      </c>
      <c r="BL200" s="363">
        <v>0</v>
      </c>
      <c r="BM200" s="363">
        <v>0</v>
      </c>
      <c r="BN200" s="363">
        <v>0</v>
      </c>
      <c r="BO200" s="363">
        <v>0</v>
      </c>
      <c r="BP200" s="363">
        <v>0</v>
      </c>
      <c r="BQ200" s="363">
        <v>0</v>
      </c>
      <c r="BR200" s="363">
        <v>0</v>
      </c>
      <c r="BS200" s="363">
        <v>0</v>
      </c>
      <c r="BT200" s="363">
        <v>0</v>
      </c>
      <c r="BU200" s="363">
        <v>0</v>
      </c>
      <c r="BV200" s="363">
        <v>0</v>
      </c>
      <c r="BW200" s="363">
        <v>0</v>
      </c>
      <c r="BX200" s="363">
        <v>0</v>
      </c>
      <c r="BY200" s="363">
        <v>0</v>
      </c>
      <c r="BZ200" s="363">
        <v>0</v>
      </c>
      <c r="CA200" s="363">
        <v>0</v>
      </c>
      <c r="CB200" s="363">
        <v>0</v>
      </c>
      <c r="CC200" s="363">
        <v>0</v>
      </c>
      <c r="CD200" s="363">
        <v>0</v>
      </c>
      <c r="CE200" s="363">
        <v>0</v>
      </c>
      <c r="CF200" s="363">
        <v>0</v>
      </c>
      <c r="CG200" s="363">
        <v>0</v>
      </c>
      <c r="CH200" s="363">
        <v>0</v>
      </c>
      <c r="CI200" s="363">
        <v>0</v>
      </c>
      <c r="CJ200" s="363">
        <v>0</v>
      </c>
      <c r="CK200" s="363">
        <v>0</v>
      </c>
      <c r="CL200" s="363">
        <v>0</v>
      </c>
      <c r="CM200" s="363">
        <v>0</v>
      </c>
      <c r="CN200" s="363">
        <v>0</v>
      </c>
      <c r="CO200" s="363">
        <v>0</v>
      </c>
      <c r="CP200" s="363">
        <v>0</v>
      </c>
      <c r="CQ200" s="363">
        <v>0</v>
      </c>
      <c r="CR200" s="363">
        <v>0</v>
      </c>
      <c r="CS200" s="363">
        <v>0</v>
      </c>
      <c r="CT200" s="363">
        <v>0</v>
      </c>
      <c r="CU200" s="363">
        <v>0</v>
      </c>
      <c r="CV200" s="363">
        <v>0</v>
      </c>
      <c r="CW200" s="363">
        <v>0</v>
      </c>
      <c r="CX200" s="363">
        <v>0</v>
      </c>
      <c r="CY200" s="363">
        <v>0</v>
      </c>
      <c r="CZ200" s="363">
        <v>0</v>
      </c>
      <c r="DA200" s="363">
        <v>0</v>
      </c>
      <c r="DB200" s="363">
        <v>0</v>
      </c>
      <c r="DC200" s="363">
        <v>0</v>
      </c>
      <c r="DD200" s="363">
        <v>0</v>
      </c>
      <c r="DE200" s="363">
        <v>0</v>
      </c>
      <c r="DF200" s="363">
        <v>0</v>
      </c>
      <c r="DG200" s="363">
        <v>0</v>
      </c>
      <c r="DH200" s="363">
        <v>0</v>
      </c>
      <c r="DI200" s="363">
        <v>0</v>
      </c>
      <c r="DJ200" s="363">
        <v>0</v>
      </c>
      <c r="DK200" s="363">
        <v>0</v>
      </c>
      <c r="DL200" s="363">
        <v>0</v>
      </c>
      <c r="DM200" s="363"/>
      <c r="DN200" s="363">
        <v>0</v>
      </c>
      <c r="DO200" s="363"/>
      <c r="DP200" s="363">
        <v>0</v>
      </c>
      <c r="DQ200" s="363">
        <v>0</v>
      </c>
      <c r="DR200" s="363">
        <v>0</v>
      </c>
      <c r="DS200" s="363">
        <v>0</v>
      </c>
      <c r="DT200" s="363">
        <v>0</v>
      </c>
      <c r="DU200" s="363">
        <v>0</v>
      </c>
      <c r="DV200" s="363">
        <v>0</v>
      </c>
      <c r="DW200" s="544">
        <f t="shared" si="23"/>
        <v>0</v>
      </c>
      <c r="DX200" s="858"/>
      <c r="DY200" s="705"/>
      <c r="DZ200" s="871"/>
      <c r="EA200" s="873"/>
      <c r="EB200" s="859"/>
      <c r="EC200" s="859"/>
      <c r="ED200" s="859"/>
      <c r="EE200" s="859"/>
      <c r="EF200" s="861"/>
      <c r="EG200" s="1106"/>
      <c r="EI200" s="858"/>
      <c r="EJ200" s="877"/>
      <c r="ER200" s="497"/>
    </row>
    <row r="201" spans="1:169" s="278" customFormat="1" ht="53.25" customHeight="1" outlineLevel="2" thickBot="1" x14ac:dyDescent="0.25">
      <c r="A201" s="992"/>
      <c r="B201" s="945"/>
      <c r="C201" s="945"/>
      <c r="D201" s="948"/>
      <c r="E201" s="868"/>
      <c r="F201" s="315" t="s">
        <v>211</v>
      </c>
      <c r="G201" s="364">
        <v>0</v>
      </c>
      <c r="H201" s="364">
        <v>0</v>
      </c>
      <c r="I201" s="364">
        <v>0</v>
      </c>
      <c r="J201" s="364">
        <v>0</v>
      </c>
      <c r="K201" s="364">
        <v>0</v>
      </c>
      <c r="L201" s="364">
        <v>0</v>
      </c>
      <c r="M201" s="364">
        <v>0</v>
      </c>
      <c r="N201" s="364">
        <v>0</v>
      </c>
      <c r="O201" s="364">
        <v>0</v>
      </c>
      <c r="P201" s="364">
        <v>0</v>
      </c>
      <c r="Q201" s="364">
        <v>0</v>
      </c>
      <c r="R201" s="364">
        <v>0</v>
      </c>
      <c r="S201" s="364">
        <v>0</v>
      </c>
      <c r="T201" s="364">
        <v>0</v>
      </c>
      <c r="U201" s="364">
        <v>0</v>
      </c>
      <c r="V201" s="364">
        <v>0</v>
      </c>
      <c r="W201" s="364">
        <v>0</v>
      </c>
      <c r="X201" s="364">
        <v>0</v>
      </c>
      <c r="Y201" s="364">
        <v>0</v>
      </c>
      <c r="Z201" s="364">
        <v>0</v>
      </c>
      <c r="AA201" s="364">
        <v>0</v>
      </c>
      <c r="AB201" s="364">
        <v>0</v>
      </c>
      <c r="AC201" s="364">
        <v>0</v>
      </c>
      <c r="AD201" s="364">
        <v>0</v>
      </c>
      <c r="AE201" s="364">
        <v>0</v>
      </c>
      <c r="AF201" s="364">
        <v>0</v>
      </c>
      <c r="AG201" s="364">
        <v>0</v>
      </c>
      <c r="AH201" s="364">
        <v>0</v>
      </c>
      <c r="AI201" s="364">
        <v>0</v>
      </c>
      <c r="AJ201" s="364">
        <v>0</v>
      </c>
      <c r="AK201" s="364">
        <v>0</v>
      </c>
      <c r="AL201" s="364">
        <v>0</v>
      </c>
      <c r="AM201" s="364">
        <v>0</v>
      </c>
      <c r="AN201" s="364">
        <v>0</v>
      </c>
      <c r="AO201" s="364">
        <v>0</v>
      </c>
      <c r="AP201" s="364">
        <v>0</v>
      </c>
      <c r="AQ201" s="364">
        <v>0</v>
      </c>
      <c r="AR201" s="364">
        <v>0</v>
      </c>
      <c r="AS201" s="364">
        <v>0</v>
      </c>
      <c r="AT201" s="364">
        <v>0</v>
      </c>
      <c r="AU201" s="364">
        <v>0</v>
      </c>
      <c r="AV201" s="364">
        <v>0</v>
      </c>
      <c r="AW201" s="364">
        <v>0</v>
      </c>
      <c r="AX201" s="364">
        <v>0</v>
      </c>
      <c r="AY201" s="364">
        <v>0</v>
      </c>
      <c r="AZ201" s="364">
        <v>0</v>
      </c>
      <c r="BA201" s="364">
        <v>0</v>
      </c>
      <c r="BB201" s="364">
        <v>0</v>
      </c>
      <c r="BC201" s="364">
        <v>0</v>
      </c>
      <c r="BD201" s="364">
        <v>0</v>
      </c>
      <c r="BE201" s="364">
        <v>0</v>
      </c>
      <c r="BF201" s="364">
        <v>0</v>
      </c>
      <c r="BG201" s="364">
        <v>0</v>
      </c>
      <c r="BH201" s="364">
        <v>0</v>
      </c>
      <c r="BI201" s="364">
        <v>0</v>
      </c>
      <c r="BJ201" s="364">
        <v>0</v>
      </c>
      <c r="BK201" s="364">
        <v>0</v>
      </c>
      <c r="BL201" s="364">
        <v>0</v>
      </c>
      <c r="BM201" s="364">
        <v>0</v>
      </c>
      <c r="BN201" s="364">
        <v>0</v>
      </c>
      <c r="BO201" s="364">
        <v>0</v>
      </c>
      <c r="BP201" s="364">
        <v>0</v>
      </c>
      <c r="BQ201" s="364">
        <v>0</v>
      </c>
      <c r="BR201" s="364">
        <v>0</v>
      </c>
      <c r="BS201" s="364">
        <v>0</v>
      </c>
      <c r="BT201" s="364">
        <v>0</v>
      </c>
      <c r="BU201" s="364">
        <v>0</v>
      </c>
      <c r="BV201" s="364">
        <v>0</v>
      </c>
      <c r="BW201" s="364">
        <v>0</v>
      </c>
      <c r="BX201" s="364">
        <v>0</v>
      </c>
      <c r="BY201" s="364">
        <v>0</v>
      </c>
      <c r="BZ201" s="364">
        <v>0</v>
      </c>
      <c r="CA201" s="364">
        <v>0</v>
      </c>
      <c r="CB201" s="364">
        <v>0</v>
      </c>
      <c r="CC201" s="364">
        <v>0</v>
      </c>
      <c r="CD201" s="364">
        <v>0</v>
      </c>
      <c r="CE201" s="364">
        <v>0</v>
      </c>
      <c r="CF201" s="364">
        <v>0</v>
      </c>
      <c r="CG201" s="364">
        <v>0</v>
      </c>
      <c r="CH201" s="364">
        <v>0</v>
      </c>
      <c r="CI201" s="364">
        <v>0</v>
      </c>
      <c r="CJ201" s="364">
        <v>0</v>
      </c>
      <c r="CK201" s="364">
        <v>0</v>
      </c>
      <c r="CL201" s="364">
        <v>0</v>
      </c>
      <c r="CM201" s="364">
        <v>0</v>
      </c>
      <c r="CN201" s="364">
        <v>0</v>
      </c>
      <c r="CO201" s="364">
        <v>0</v>
      </c>
      <c r="CP201" s="364">
        <v>0</v>
      </c>
      <c r="CQ201" s="364">
        <v>0</v>
      </c>
      <c r="CR201" s="364">
        <v>0</v>
      </c>
      <c r="CS201" s="364">
        <v>0</v>
      </c>
      <c r="CT201" s="364">
        <v>0</v>
      </c>
      <c r="CU201" s="364">
        <v>0</v>
      </c>
      <c r="CV201" s="364">
        <v>0</v>
      </c>
      <c r="CW201" s="364">
        <v>0</v>
      </c>
      <c r="CX201" s="364">
        <v>0</v>
      </c>
      <c r="CY201" s="364">
        <v>0</v>
      </c>
      <c r="CZ201" s="364">
        <v>0</v>
      </c>
      <c r="DA201" s="364">
        <v>0</v>
      </c>
      <c r="DB201" s="364">
        <v>0</v>
      </c>
      <c r="DC201" s="364">
        <v>0</v>
      </c>
      <c r="DD201" s="364">
        <v>0</v>
      </c>
      <c r="DE201" s="364">
        <v>0</v>
      </c>
      <c r="DF201" s="364">
        <v>0</v>
      </c>
      <c r="DG201" s="364">
        <v>0</v>
      </c>
      <c r="DH201" s="364">
        <v>0</v>
      </c>
      <c r="DI201" s="364">
        <v>0</v>
      </c>
      <c r="DJ201" s="364">
        <v>0</v>
      </c>
      <c r="DK201" s="364">
        <v>0</v>
      </c>
      <c r="DL201" s="364"/>
      <c r="DM201" s="364"/>
      <c r="DN201" s="364">
        <v>0</v>
      </c>
      <c r="DO201" s="364">
        <v>0</v>
      </c>
      <c r="DP201" s="364">
        <v>0</v>
      </c>
      <c r="DQ201" s="364">
        <v>0</v>
      </c>
      <c r="DR201" s="364">
        <v>0</v>
      </c>
      <c r="DS201" s="364">
        <v>0</v>
      </c>
      <c r="DT201" s="364">
        <v>0</v>
      </c>
      <c r="DU201" s="364">
        <v>0</v>
      </c>
      <c r="DV201" s="364">
        <v>0</v>
      </c>
      <c r="DW201" s="649">
        <f t="shared" si="23"/>
        <v>0</v>
      </c>
      <c r="DX201" s="858"/>
      <c r="DY201" s="706"/>
      <c r="DZ201" s="872"/>
      <c r="EA201" s="873"/>
      <c r="EB201" s="859"/>
      <c r="EC201" s="859"/>
      <c r="ED201" s="859"/>
      <c r="EE201" s="859"/>
      <c r="EF201" s="861"/>
      <c r="EG201" s="1107" t="e">
        <f>+DW201/DX199</f>
        <v>#DIV/0!</v>
      </c>
      <c r="EI201" s="858"/>
      <c r="EJ201" s="877"/>
      <c r="ER201" s="497"/>
    </row>
    <row r="202" spans="1:169" s="278" customFormat="1" ht="24" outlineLevel="2" x14ac:dyDescent="0.2">
      <c r="A202" s="937" t="s">
        <v>147</v>
      </c>
      <c r="B202" s="963" t="s">
        <v>191</v>
      </c>
      <c r="C202" s="954">
        <v>6</v>
      </c>
      <c r="D202" s="985">
        <f>'Detalle Plan de Adquisiciones'!M50</f>
        <v>12000000000</v>
      </c>
      <c r="E202" s="866" t="str">
        <f>+'[12]Detalle Plan de Adquisiciones'!F49</f>
        <v>PATIO 1</v>
      </c>
      <c r="F202" s="760" t="s">
        <v>410</v>
      </c>
      <c r="G202" s="757">
        <v>0</v>
      </c>
      <c r="H202" s="354">
        <v>0</v>
      </c>
      <c r="I202" s="354">
        <v>0</v>
      </c>
      <c r="J202" s="354">
        <v>0</v>
      </c>
      <c r="K202" s="354">
        <v>0</v>
      </c>
      <c r="L202" s="354">
        <v>0</v>
      </c>
      <c r="M202" s="354">
        <v>0</v>
      </c>
      <c r="N202" s="354">
        <v>0</v>
      </c>
      <c r="O202" s="354">
        <v>0</v>
      </c>
      <c r="P202" s="354">
        <v>0</v>
      </c>
      <c r="Q202" s="354">
        <v>0</v>
      </c>
      <c r="R202" s="354">
        <v>0</v>
      </c>
      <c r="S202" s="354">
        <v>0</v>
      </c>
      <c r="T202" s="354">
        <v>0</v>
      </c>
      <c r="U202" s="354">
        <v>0</v>
      </c>
      <c r="V202" s="354">
        <v>0</v>
      </c>
      <c r="W202" s="354">
        <v>0</v>
      </c>
      <c r="X202" s="354">
        <v>0</v>
      </c>
      <c r="Y202" s="354">
        <v>0</v>
      </c>
      <c r="Z202" s="354">
        <v>0</v>
      </c>
      <c r="AA202" s="354">
        <v>0</v>
      </c>
      <c r="AB202" s="354">
        <v>0</v>
      </c>
      <c r="AC202" s="354">
        <v>0</v>
      </c>
      <c r="AD202" s="354">
        <v>0</v>
      </c>
      <c r="AE202" s="354">
        <v>0</v>
      </c>
      <c r="AF202" s="354">
        <v>0</v>
      </c>
      <c r="AG202" s="354">
        <v>0</v>
      </c>
      <c r="AH202" s="354">
        <v>0</v>
      </c>
      <c r="AI202" s="354">
        <v>0</v>
      </c>
      <c r="AJ202" s="354">
        <v>0</v>
      </c>
      <c r="AK202" s="354">
        <v>0</v>
      </c>
      <c r="AL202" s="354">
        <v>0</v>
      </c>
      <c r="AM202" s="354">
        <v>0</v>
      </c>
      <c r="AN202" s="354">
        <v>0</v>
      </c>
      <c r="AO202" s="354">
        <v>0</v>
      </c>
      <c r="AP202" s="354">
        <v>0</v>
      </c>
      <c r="AQ202" s="354">
        <v>0</v>
      </c>
      <c r="AR202" s="354">
        <v>0</v>
      </c>
      <c r="AS202" s="354">
        <v>0</v>
      </c>
      <c r="AT202" s="354">
        <v>0</v>
      </c>
      <c r="AU202" s="354">
        <v>0</v>
      </c>
      <c r="AV202" s="354">
        <v>0</v>
      </c>
      <c r="AW202" s="354">
        <v>0</v>
      </c>
      <c r="AX202" s="354">
        <v>0</v>
      </c>
      <c r="AY202" s="354">
        <v>0</v>
      </c>
      <c r="AZ202" s="354">
        <v>0</v>
      </c>
      <c r="BA202" s="354">
        <v>0</v>
      </c>
      <c r="BB202" s="354">
        <v>0</v>
      </c>
      <c r="BC202" s="354">
        <v>0</v>
      </c>
      <c r="BD202" s="354">
        <v>0</v>
      </c>
      <c r="BE202" s="354">
        <v>0</v>
      </c>
      <c r="BF202" s="354">
        <v>0</v>
      </c>
      <c r="BG202" s="354">
        <v>0</v>
      </c>
      <c r="BH202" s="354">
        <v>0</v>
      </c>
      <c r="BI202" s="354">
        <v>0</v>
      </c>
      <c r="BJ202" s="354">
        <v>0</v>
      </c>
      <c r="BK202" s="354">
        <v>0</v>
      </c>
      <c r="BL202" s="354">
        <v>0</v>
      </c>
      <c r="BM202" s="354">
        <v>0</v>
      </c>
      <c r="BN202" s="354">
        <v>0</v>
      </c>
      <c r="BO202" s="354">
        <v>0</v>
      </c>
      <c r="BP202" s="354">
        <v>0</v>
      </c>
      <c r="BQ202" s="354">
        <v>0</v>
      </c>
      <c r="BR202" s="354">
        <v>0</v>
      </c>
      <c r="BS202" s="354">
        <v>0</v>
      </c>
      <c r="BT202" s="354">
        <v>0</v>
      </c>
      <c r="BU202" s="354">
        <v>0</v>
      </c>
      <c r="BV202" s="354">
        <v>0</v>
      </c>
      <c r="BW202" s="354">
        <v>0</v>
      </c>
      <c r="BX202" s="354">
        <v>0</v>
      </c>
      <c r="BY202" s="354">
        <v>0</v>
      </c>
      <c r="BZ202" s="354">
        <v>0</v>
      </c>
      <c r="CA202" s="354">
        <v>0</v>
      </c>
      <c r="CB202" s="354">
        <v>0</v>
      </c>
      <c r="CC202" s="354">
        <v>0</v>
      </c>
      <c r="CD202" s="354">
        <v>0</v>
      </c>
      <c r="CE202" s="354">
        <v>0</v>
      </c>
      <c r="CF202" s="354">
        <v>0</v>
      </c>
      <c r="CG202" s="354">
        <v>0</v>
      </c>
      <c r="CH202" s="354">
        <v>0</v>
      </c>
      <c r="CI202" s="354">
        <v>0</v>
      </c>
      <c r="CJ202" s="354">
        <v>0</v>
      </c>
      <c r="CK202" s="354">
        <v>0</v>
      </c>
      <c r="CL202" s="354">
        <v>0</v>
      </c>
      <c r="CM202" s="354">
        <v>0</v>
      </c>
      <c r="CN202" s="354">
        <v>0</v>
      </c>
      <c r="CO202" s="354">
        <v>0</v>
      </c>
      <c r="CP202" s="354">
        <v>0</v>
      </c>
      <c r="CQ202" s="354">
        <v>0</v>
      </c>
      <c r="CR202" s="598"/>
      <c r="CS202" s="598"/>
      <c r="CT202" s="598"/>
      <c r="CU202" s="598"/>
      <c r="CV202" s="598"/>
      <c r="CW202" s="598"/>
      <c r="CX202" s="598"/>
      <c r="CY202" s="598"/>
      <c r="CZ202" s="354"/>
      <c r="DA202" s="354"/>
      <c r="DB202" s="354"/>
      <c r="DC202" s="354">
        <v>0</v>
      </c>
      <c r="DD202" s="354">
        <v>0</v>
      </c>
      <c r="DE202" s="354">
        <v>0</v>
      </c>
      <c r="DF202" s="354">
        <v>0</v>
      </c>
      <c r="DG202" s="354">
        <v>0</v>
      </c>
      <c r="DH202" s="354">
        <v>0</v>
      </c>
      <c r="DI202" s="354">
        <v>0</v>
      </c>
      <c r="DJ202" s="829">
        <v>5097.3333330000005</v>
      </c>
      <c r="DK202" s="354">
        <v>1902.6666669999995</v>
      </c>
      <c r="DL202" s="354"/>
      <c r="DM202" s="354">
        <v>2851.3333334999998</v>
      </c>
      <c r="DN202" s="829">
        <v>2148.6666665000002</v>
      </c>
      <c r="DO202" s="354"/>
      <c r="DP202" s="354"/>
      <c r="DQ202" s="354"/>
      <c r="DR202" s="354"/>
      <c r="DS202" s="354"/>
      <c r="DT202" s="354"/>
      <c r="DU202" s="354">
        <v>0</v>
      </c>
      <c r="DV202" s="354">
        <v>0</v>
      </c>
      <c r="DW202" s="543">
        <f t="shared" si="23"/>
        <v>12000</v>
      </c>
      <c r="DX202" s="858">
        <f>DW202+DW203+DW204</f>
        <v>12000</v>
      </c>
      <c r="DY202" s="704">
        <f>+DX202*1000000</f>
        <v>12000000000</v>
      </c>
      <c r="DZ202" s="870">
        <f>+DY202-D202</f>
        <v>0</v>
      </c>
      <c r="EA202" s="873">
        <f>VLOOKUP([12]POA!$B212,'[12]Detalle Plan de Adquisiciones'!$G$6:$AF$65,23,0)</f>
        <v>43108</v>
      </c>
      <c r="EB202" s="859">
        <f>VLOOKUP([12]POA!$B212,'[12]Detalle Plan de Adquisiciones'!$G$6:$AF$65,25,0)</f>
        <v>43351</v>
      </c>
      <c r="EC202" s="859">
        <f>EB202+30</f>
        <v>43381</v>
      </c>
      <c r="ED202" s="859" t="str">
        <f>CONCATENATE(MONTH(EA202),"-",YEAR(EA202))</f>
        <v>1-2018</v>
      </c>
      <c r="EE202" s="859" t="str">
        <f>CONCATENATE(MONTH(EB202),"-",YEAR(EB202))</f>
        <v>9-2018</v>
      </c>
      <c r="EF202" s="861" t="str">
        <f>CONCATENATE(MONTH(EC202),"-",YEAR(EC202))</f>
        <v>10-2018</v>
      </c>
      <c r="EG202" s="1105">
        <f>+YEAR(EA202)</f>
        <v>2018</v>
      </c>
      <c r="EI202" s="858">
        <f>+DW202+DW203+DW204</f>
        <v>12000</v>
      </c>
      <c r="EJ202" s="877">
        <f>+D202/1000000-EI202</f>
        <v>0</v>
      </c>
      <c r="EL202" s="393"/>
      <c r="ER202" s="625"/>
      <c r="FM202" s="393"/>
    </row>
    <row r="203" spans="1:169" s="278" customFormat="1" ht="12.75" outlineLevel="2" thickBot="1" x14ac:dyDescent="0.25">
      <c r="A203" s="938"/>
      <c r="B203" s="944"/>
      <c r="C203" s="955"/>
      <c r="D203" s="947"/>
      <c r="E203" s="867"/>
      <c r="F203" s="761" t="s">
        <v>210</v>
      </c>
      <c r="G203" s="758">
        <v>0</v>
      </c>
      <c r="H203" s="363">
        <v>0</v>
      </c>
      <c r="I203" s="363">
        <v>0</v>
      </c>
      <c r="J203" s="363">
        <v>0</v>
      </c>
      <c r="K203" s="363">
        <v>0</v>
      </c>
      <c r="L203" s="363">
        <v>0</v>
      </c>
      <c r="M203" s="363">
        <v>0</v>
      </c>
      <c r="N203" s="363">
        <v>0</v>
      </c>
      <c r="O203" s="363">
        <v>0</v>
      </c>
      <c r="P203" s="363">
        <v>0</v>
      </c>
      <c r="Q203" s="363">
        <v>0</v>
      </c>
      <c r="R203" s="363">
        <v>0</v>
      </c>
      <c r="S203" s="363">
        <v>0</v>
      </c>
      <c r="T203" s="363">
        <v>0</v>
      </c>
      <c r="U203" s="363">
        <v>0</v>
      </c>
      <c r="V203" s="363">
        <v>0</v>
      </c>
      <c r="W203" s="363">
        <v>0</v>
      </c>
      <c r="X203" s="363">
        <v>0</v>
      </c>
      <c r="Y203" s="363">
        <v>0</v>
      </c>
      <c r="Z203" s="363">
        <v>0</v>
      </c>
      <c r="AA203" s="363">
        <v>0</v>
      </c>
      <c r="AB203" s="363">
        <v>0</v>
      </c>
      <c r="AC203" s="363">
        <v>0</v>
      </c>
      <c r="AD203" s="363">
        <v>0</v>
      </c>
      <c r="AE203" s="363">
        <v>0</v>
      </c>
      <c r="AF203" s="363">
        <v>0</v>
      </c>
      <c r="AG203" s="363">
        <v>0</v>
      </c>
      <c r="AH203" s="363">
        <v>0</v>
      </c>
      <c r="AI203" s="363">
        <v>0</v>
      </c>
      <c r="AJ203" s="363">
        <v>0</v>
      </c>
      <c r="AK203" s="363">
        <v>0</v>
      </c>
      <c r="AL203" s="363">
        <v>0</v>
      </c>
      <c r="AM203" s="363">
        <v>0</v>
      </c>
      <c r="AN203" s="363">
        <v>0</v>
      </c>
      <c r="AO203" s="363">
        <v>0</v>
      </c>
      <c r="AP203" s="363">
        <v>0</v>
      </c>
      <c r="AQ203" s="363">
        <v>0</v>
      </c>
      <c r="AR203" s="363">
        <v>0</v>
      </c>
      <c r="AS203" s="363">
        <v>0</v>
      </c>
      <c r="AT203" s="363">
        <v>0</v>
      </c>
      <c r="AU203" s="363">
        <v>0</v>
      </c>
      <c r="AV203" s="363">
        <v>0</v>
      </c>
      <c r="AW203" s="363">
        <v>0</v>
      </c>
      <c r="AX203" s="363">
        <v>0</v>
      </c>
      <c r="AY203" s="363">
        <v>0</v>
      </c>
      <c r="AZ203" s="363">
        <v>0</v>
      </c>
      <c r="BA203" s="363">
        <v>0</v>
      </c>
      <c r="BB203" s="363">
        <v>0</v>
      </c>
      <c r="BC203" s="363">
        <v>0</v>
      </c>
      <c r="BD203" s="363">
        <v>0</v>
      </c>
      <c r="BE203" s="363">
        <v>0</v>
      </c>
      <c r="BF203" s="363">
        <v>0</v>
      </c>
      <c r="BG203" s="363">
        <v>0</v>
      </c>
      <c r="BH203" s="363">
        <v>0</v>
      </c>
      <c r="BI203" s="363">
        <v>0</v>
      </c>
      <c r="BJ203" s="363">
        <v>0</v>
      </c>
      <c r="BK203" s="363">
        <v>0</v>
      </c>
      <c r="BL203" s="363">
        <v>0</v>
      </c>
      <c r="BM203" s="363">
        <v>0</v>
      </c>
      <c r="BN203" s="363">
        <v>0</v>
      </c>
      <c r="BO203" s="363">
        <v>0</v>
      </c>
      <c r="BP203" s="363">
        <v>0</v>
      </c>
      <c r="BQ203" s="363">
        <v>0</v>
      </c>
      <c r="BR203" s="363">
        <v>0</v>
      </c>
      <c r="BS203" s="363">
        <v>0</v>
      </c>
      <c r="BT203" s="363">
        <v>0</v>
      </c>
      <c r="BU203" s="363">
        <v>0</v>
      </c>
      <c r="BV203" s="363">
        <v>0</v>
      </c>
      <c r="BW203" s="363">
        <v>0</v>
      </c>
      <c r="BX203" s="363">
        <v>0</v>
      </c>
      <c r="BY203" s="363">
        <v>0</v>
      </c>
      <c r="BZ203" s="363">
        <v>0</v>
      </c>
      <c r="CA203" s="363">
        <v>0</v>
      </c>
      <c r="CB203" s="363">
        <v>0</v>
      </c>
      <c r="CC203" s="363">
        <v>0</v>
      </c>
      <c r="CD203" s="363">
        <v>0</v>
      </c>
      <c r="CE203" s="363">
        <v>0</v>
      </c>
      <c r="CF203" s="363">
        <v>0</v>
      </c>
      <c r="CG203" s="363">
        <v>0</v>
      </c>
      <c r="CH203" s="363">
        <v>0</v>
      </c>
      <c r="CI203" s="363">
        <v>0</v>
      </c>
      <c r="CJ203" s="363">
        <v>0</v>
      </c>
      <c r="CK203" s="363">
        <v>0</v>
      </c>
      <c r="CL203" s="363">
        <v>0</v>
      </c>
      <c r="CM203" s="363">
        <v>0</v>
      </c>
      <c r="CN203" s="363">
        <v>0</v>
      </c>
      <c r="CO203" s="363">
        <v>0</v>
      </c>
      <c r="CP203" s="363">
        <v>0</v>
      </c>
      <c r="CQ203" s="363">
        <v>0</v>
      </c>
      <c r="CR203" s="363">
        <v>0</v>
      </c>
      <c r="CS203" s="363">
        <v>0</v>
      </c>
      <c r="CT203" s="363">
        <v>0</v>
      </c>
      <c r="CU203" s="363">
        <v>0</v>
      </c>
      <c r="CV203" s="363">
        <v>0</v>
      </c>
      <c r="CW203" s="363">
        <v>0</v>
      </c>
      <c r="CX203" s="363"/>
      <c r="CY203" s="363"/>
      <c r="CZ203" s="363"/>
      <c r="DA203" s="363"/>
      <c r="DB203" s="363"/>
      <c r="DC203" s="363"/>
      <c r="DD203" s="363">
        <v>0</v>
      </c>
      <c r="DE203" s="363">
        <v>0</v>
      </c>
      <c r="DF203" s="363">
        <v>0</v>
      </c>
      <c r="DG203" s="363">
        <v>0</v>
      </c>
      <c r="DH203" s="363">
        <v>0</v>
      </c>
      <c r="DI203" s="363">
        <v>0</v>
      </c>
      <c r="DJ203" s="363">
        <v>0</v>
      </c>
      <c r="DK203" s="363">
        <v>0</v>
      </c>
      <c r="DL203" s="363"/>
      <c r="DM203" s="363"/>
      <c r="DN203" s="363"/>
      <c r="DO203" s="363"/>
      <c r="DP203" s="363"/>
      <c r="DQ203" s="363"/>
      <c r="DR203" s="363"/>
      <c r="DS203" s="363"/>
      <c r="DT203" s="363"/>
      <c r="DU203" s="363">
        <v>0</v>
      </c>
      <c r="DV203" s="364">
        <v>0</v>
      </c>
      <c r="DW203" s="544">
        <f t="shared" si="23"/>
        <v>0</v>
      </c>
      <c r="DX203" s="858"/>
      <c r="DY203" s="705"/>
      <c r="DZ203" s="871"/>
      <c r="EA203" s="873"/>
      <c r="EB203" s="859"/>
      <c r="EC203" s="859"/>
      <c r="ED203" s="859"/>
      <c r="EE203" s="859"/>
      <c r="EF203" s="861"/>
      <c r="EG203" s="1106"/>
      <c r="EI203" s="858"/>
      <c r="EJ203" s="877"/>
      <c r="ER203" s="625"/>
    </row>
    <row r="204" spans="1:169" s="278" customFormat="1" ht="12.75" outlineLevel="2" thickBot="1" x14ac:dyDescent="0.25">
      <c r="A204" s="939"/>
      <c r="B204" s="964"/>
      <c r="C204" s="956"/>
      <c r="D204" s="986"/>
      <c r="E204" s="875"/>
      <c r="F204" s="762" t="s">
        <v>211</v>
      </c>
      <c r="G204" s="759">
        <v>0</v>
      </c>
      <c r="H204" s="364">
        <v>0</v>
      </c>
      <c r="I204" s="364">
        <v>0</v>
      </c>
      <c r="J204" s="364">
        <v>0</v>
      </c>
      <c r="K204" s="364">
        <v>0</v>
      </c>
      <c r="L204" s="364">
        <v>0</v>
      </c>
      <c r="M204" s="364">
        <v>0</v>
      </c>
      <c r="N204" s="364">
        <v>0</v>
      </c>
      <c r="O204" s="364">
        <v>0</v>
      </c>
      <c r="P204" s="364">
        <v>0</v>
      </c>
      <c r="Q204" s="364">
        <v>0</v>
      </c>
      <c r="R204" s="364">
        <v>0</v>
      </c>
      <c r="S204" s="364">
        <v>0</v>
      </c>
      <c r="T204" s="364">
        <v>0</v>
      </c>
      <c r="U204" s="364">
        <v>0</v>
      </c>
      <c r="V204" s="364">
        <v>0</v>
      </c>
      <c r="W204" s="364">
        <v>0</v>
      </c>
      <c r="X204" s="364">
        <v>0</v>
      </c>
      <c r="Y204" s="364">
        <v>0</v>
      </c>
      <c r="Z204" s="364">
        <v>0</v>
      </c>
      <c r="AA204" s="364">
        <v>0</v>
      </c>
      <c r="AB204" s="364">
        <v>0</v>
      </c>
      <c r="AC204" s="364">
        <v>0</v>
      </c>
      <c r="AD204" s="364">
        <v>0</v>
      </c>
      <c r="AE204" s="364">
        <v>0</v>
      </c>
      <c r="AF204" s="364">
        <v>0</v>
      </c>
      <c r="AG204" s="364">
        <v>0</v>
      </c>
      <c r="AH204" s="364">
        <v>0</v>
      </c>
      <c r="AI204" s="364">
        <v>0</v>
      </c>
      <c r="AJ204" s="364">
        <v>0</v>
      </c>
      <c r="AK204" s="364">
        <v>0</v>
      </c>
      <c r="AL204" s="364">
        <v>0</v>
      </c>
      <c r="AM204" s="364">
        <v>0</v>
      </c>
      <c r="AN204" s="364">
        <v>0</v>
      </c>
      <c r="AO204" s="364">
        <v>0</v>
      </c>
      <c r="AP204" s="364">
        <v>0</v>
      </c>
      <c r="AQ204" s="364">
        <v>0</v>
      </c>
      <c r="AR204" s="364">
        <v>0</v>
      </c>
      <c r="AS204" s="364">
        <v>0</v>
      </c>
      <c r="AT204" s="364">
        <v>0</v>
      </c>
      <c r="AU204" s="364">
        <v>0</v>
      </c>
      <c r="AV204" s="364">
        <v>0</v>
      </c>
      <c r="AW204" s="364">
        <v>0</v>
      </c>
      <c r="AX204" s="364">
        <v>0</v>
      </c>
      <c r="AY204" s="364">
        <v>0</v>
      </c>
      <c r="AZ204" s="364">
        <v>0</v>
      </c>
      <c r="BA204" s="364">
        <v>0</v>
      </c>
      <c r="BB204" s="364">
        <v>0</v>
      </c>
      <c r="BC204" s="364">
        <v>0</v>
      </c>
      <c r="BD204" s="364">
        <v>0</v>
      </c>
      <c r="BE204" s="364">
        <v>0</v>
      </c>
      <c r="BF204" s="364">
        <v>0</v>
      </c>
      <c r="BG204" s="364">
        <v>0</v>
      </c>
      <c r="BH204" s="364">
        <v>0</v>
      </c>
      <c r="BI204" s="364">
        <v>0</v>
      </c>
      <c r="BJ204" s="364">
        <v>0</v>
      </c>
      <c r="BK204" s="364">
        <v>0</v>
      </c>
      <c r="BL204" s="364">
        <v>0</v>
      </c>
      <c r="BM204" s="364">
        <v>0</v>
      </c>
      <c r="BN204" s="364">
        <v>0</v>
      </c>
      <c r="BO204" s="364">
        <v>0</v>
      </c>
      <c r="BP204" s="364">
        <v>0</v>
      </c>
      <c r="BQ204" s="364">
        <v>0</v>
      </c>
      <c r="BR204" s="364">
        <v>0</v>
      </c>
      <c r="BS204" s="364">
        <v>0</v>
      </c>
      <c r="BT204" s="364">
        <v>0</v>
      </c>
      <c r="BU204" s="364">
        <v>0</v>
      </c>
      <c r="BV204" s="364">
        <v>0</v>
      </c>
      <c r="BW204" s="364">
        <v>0</v>
      </c>
      <c r="BX204" s="364">
        <v>0</v>
      </c>
      <c r="BY204" s="364">
        <v>0</v>
      </c>
      <c r="BZ204" s="364">
        <v>0</v>
      </c>
      <c r="CA204" s="364">
        <v>0</v>
      </c>
      <c r="CB204" s="364">
        <v>0</v>
      </c>
      <c r="CC204" s="364">
        <v>0</v>
      </c>
      <c r="CD204" s="364">
        <v>0</v>
      </c>
      <c r="CE204" s="364">
        <v>0</v>
      </c>
      <c r="CF204" s="364">
        <v>0</v>
      </c>
      <c r="CG204" s="364">
        <v>0</v>
      </c>
      <c r="CH204" s="364">
        <v>0</v>
      </c>
      <c r="CI204" s="364">
        <v>0</v>
      </c>
      <c r="CJ204" s="364">
        <v>0</v>
      </c>
      <c r="CK204" s="364">
        <v>0</v>
      </c>
      <c r="CL204" s="364">
        <v>0</v>
      </c>
      <c r="CM204" s="364">
        <v>0</v>
      </c>
      <c r="CN204" s="364">
        <v>0</v>
      </c>
      <c r="CO204" s="364">
        <v>0</v>
      </c>
      <c r="CP204" s="364">
        <v>0</v>
      </c>
      <c r="CQ204" s="364">
        <v>0</v>
      </c>
      <c r="CR204" s="364">
        <v>0</v>
      </c>
      <c r="CS204" s="753">
        <v>0</v>
      </c>
      <c r="CT204" s="364">
        <v>0</v>
      </c>
      <c r="CU204" s="364">
        <v>0</v>
      </c>
      <c r="CV204" s="364"/>
      <c r="CW204" s="364"/>
      <c r="CX204" s="364"/>
      <c r="CY204" s="364"/>
      <c r="CZ204" s="364"/>
      <c r="DA204" s="364"/>
      <c r="DB204" s="364"/>
      <c r="DC204" s="364"/>
      <c r="DD204" s="364"/>
      <c r="DE204" s="364"/>
      <c r="DF204" s="364"/>
      <c r="DG204" s="364"/>
      <c r="DH204" s="364"/>
      <c r="DI204" s="364"/>
      <c r="DJ204" s="364"/>
      <c r="DK204" s="364"/>
      <c r="DL204" s="364"/>
      <c r="DM204" s="364"/>
      <c r="DN204" s="364">
        <v>0</v>
      </c>
      <c r="DO204" s="364"/>
      <c r="DP204" s="364"/>
      <c r="DQ204" s="364"/>
      <c r="DR204" s="364"/>
      <c r="DS204" s="364"/>
      <c r="DT204" s="364"/>
      <c r="DU204" s="754">
        <v>0</v>
      </c>
      <c r="DV204" s="756">
        <v>0</v>
      </c>
      <c r="DW204" s="755">
        <f t="shared" si="23"/>
        <v>0</v>
      </c>
      <c r="DX204" s="869"/>
      <c r="DY204" s="706"/>
      <c r="DZ204" s="872"/>
      <c r="EA204" s="874"/>
      <c r="EB204" s="860"/>
      <c r="EC204" s="860"/>
      <c r="ED204" s="860"/>
      <c r="EE204" s="860"/>
      <c r="EF204" s="862"/>
      <c r="EG204" s="1107"/>
      <c r="EI204" s="858"/>
      <c r="EJ204" s="877"/>
      <c r="ER204" s="625"/>
    </row>
    <row r="205" spans="1:169" s="278" customFormat="1" ht="24" outlineLevel="2" x14ac:dyDescent="0.2">
      <c r="A205" s="1082" t="s">
        <v>619</v>
      </c>
      <c r="B205" s="963" t="s">
        <v>191</v>
      </c>
      <c r="C205" s="954">
        <v>6</v>
      </c>
      <c r="D205" s="957">
        <f>'Detalle Plan de Adquisiciones'!L137</f>
        <v>1080000000</v>
      </c>
      <c r="E205" s="866" t="str">
        <f>+'[12]Detalle Plan de Adquisiciones'!F135</f>
        <v>INTERVENTORÍA TÉCNICA, ADMINISTRATIVA, FINANCIERA Y AMBIENTAL AL CONTRATO CUYO OBJETO ES: PATIO 1</v>
      </c>
      <c r="F205" s="312" t="s">
        <v>410</v>
      </c>
      <c r="G205" s="354">
        <v>0</v>
      </c>
      <c r="H205" s="354">
        <v>0</v>
      </c>
      <c r="I205" s="354">
        <v>0</v>
      </c>
      <c r="J205" s="354">
        <v>0</v>
      </c>
      <c r="K205" s="354">
        <v>0</v>
      </c>
      <c r="L205" s="354">
        <v>0</v>
      </c>
      <c r="M205" s="354">
        <v>0</v>
      </c>
      <c r="N205" s="354">
        <v>0</v>
      </c>
      <c r="O205" s="354">
        <v>0</v>
      </c>
      <c r="P205" s="354">
        <v>0</v>
      </c>
      <c r="Q205" s="354">
        <v>0</v>
      </c>
      <c r="R205" s="354">
        <v>0</v>
      </c>
      <c r="S205" s="354">
        <v>0</v>
      </c>
      <c r="T205" s="354">
        <v>0</v>
      </c>
      <c r="U205" s="354">
        <v>0</v>
      </c>
      <c r="V205" s="354">
        <v>0</v>
      </c>
      <c r="W205" s="354">
        <v>0</v>
      </c>
      <c r="X205" s="354">
        <v>0</v>
      </c>
      <c r="Y205" s="354">
        <v>0</v>
      </c>
      <c r="Z205" s="354">
        <v>0</v>
      </c>
      <c r="AA205" s="354">
        <v>0</v>
      </c>
      <c r="AB205" s="354">
        <v>0</v>
      </c>
      <c r="AC205" s="354">
        <v>0</v>
      </c>
      <c r="AD205" s="354">
        <v>0</v>
      </c>
      <c r="AE205" s="354">
        <v>0</v>
      </c>
      <c r="AF205" s="354">
        <v>0</v>
      </c>
      <c r="AG205" s="354">
        <v>0</v>
      </c>
      <c r="AH205" s="354">
        <v>0</v>
      </c>
      <c r="AI205" s="354">
        <v>0</v>
      </c>
      <c r="AJ205" s="354">
        <v>0</v>
      </c>
      <c r="AK205" s="354">
        <v>0</v>
      </c>
      <c r="AL205" s="354">
        <v>0</v>
      </c>
      <c r="AM205" s="354">
        <v>0</v>
      </c>
      <c r="AN205" s="354">
        <v>0</v>
      </c>
      <c r="AO205" s="354">
        <v>0</v>
      </c>
      <c r="AP205" s="354">
        <v>0</v>
      </c>
      <c r="AQ205" s="354">
        <v>0</v>
      </c>
      <c r="AR205" s="354">
        <v>0</v>
      </c>
      <c r="AS205" s="354">
        <v>0</v>
      </c>
      <c r="AT205" s="354">
        <v>0</v>
      </c>
      <c r="AU205" s="354">
        <v>0</v>
      </c>
      <c r="AV205" s="354">
        <v>0</v>
      </c>
      <c r="AW205" s="354">
        <v>0</v>
      </c>
      <c r="AX205" s="354">
        <v>0</v>
      </c>
      <c r="AY205" s="354">
        <v>0</v>
      </c>
      <c r="AZ205" s="354">
        <v>0</v>
      </c>
      <c r="BA205" s="354">
        <v>0</v>
      </c>
      <c r="BB205" s="354">
        <v>0</v>
      </c>
      <c r="BC205" s="354">
        <v>0</v>
      </c>
      <c r="BD205" s="354">
        <v>0</v>
      </c>
      <c r="BE205" s="354">
        <v>0</v>
      </c>
      <c r="BF205" s="354">
        <v>0</v>
      </c>
      <c r="BG205" s="354">
        <v>0</v>
      </c>
      <c r="BH205" s="354">
        <v>0</v>
      </c>
      <c r="BI205" s="354">
        <v>0</v>
      </c>
      <c r="BJ205" s="354">
        <v>0</v>
      </c>
      <c r="BK205" s="354">
        <v>0</v>
      </c>
      <c r="BL205" s="354">
        <v>0</v>
      </c>
      <c r="BM205" s="354">
        <v>0</v>
      </c>
      <c r="BN205" s="354">
        <v>0</v>
      </c>
      <c r="BO205" s="354">
        <v>0</v>
      </c>
      <c r="BP205" s="354">
        <v>0</v>
      </c>
      <c r="BQ205" s="354">
        <v>0</v>
      </c>
      <c r="BR205" s="354">
        <v>0</v>
      </c>
      <c r="BS205" s="354">
        <v>0</v>
      </c>
      <c r="BT205" s="354">
        <v>0</v>
      </c>
      <c r="BU205" s="354">
        <v>0</v>
      </c>
      <c r="BV205" s="354">
        <v>0</v>
      </c>
      <c r="BW205" s="354">
        <v>0</v>
      </c>
      <c r="BX205" s="354">
        <v>0</v>
      </c>
      <c r="BY205" s="354">
        <v>0</v>
      </c>
      <c r="BZ205" s="354">
        <v>0</v>
      </c>
      <c r="CA205" s="354">
        <v>0</v>
      </c>
      <c r="CB205" s="354">
        <v>0</v>
      </c>
      <c r="CC205" s="354">
        <v>0</v>
      </c>
      <c r="CD205" s="354">
        <v>0</v>
      </c>
      <c r="CE205" s="354">
        <v>0</v>
      </c>
      <c r="CF205" s="354">
        <v>0</v>
      </c>
      <c r="CG205" s="354">
        <v>0</v>
      </c>
      <c r="CH205" s="354">
        <v>0</v>
      </c>
      <c r="CI205" s="354">
        <v>0</v>
      </c>
      <c r="CJ205" s="354">
        <v>0</v>
      </c>
      <c r="CK205" s="354">
        <v>0</v>
      </c>
      <c r="CL205" s="354">
        <v>0</v>
      </c>
      <c r="CM205" s="354">
        <v>0</v>
      </c>
      <c r="CN205" s="354">
        <v>0</v>
      </c>
      <c r="CO205" s="354">
        <v>0</v>
      </c>
      <c r="CP205" s="354">
        <v>0</v>
      </c>
      <c r="CQ205" s="354">
        <v>0</v>
      </c>
      <c r="CR205" s="354">
        <v>0</v>
      </c>
      <c r="CS205" s="354">
        <v>0</v>
      </c>
      <c r="CT205" s="354">
        <v>0</v>
      </c>
      <c r="CU205" s="354">
        <v>0</v>
      </c>
      <c r="CV205" s="354">
        <v>0</v>
      </c>
      <c r="CW205" s="354">
        <v>0</v>
      </c>
      <c r="CX205" s="354">
        <v>0</v>
      </c>
      <c r="CY205" s="354">
        <v>0</v>
      </c>
      <c r="CZ205" s="354">
        <v>0</v>
      </c>
      <c r="DA205" s="354">
        <v>0</v>
      </c>
      <c r="DB205" s="354">
        <v>0</v>
      </c>
      <c r="DC205" s="354">
        <v>0</v>
      </c>
      <c r="DD205" s="354">
        <v>0</v>
      </c>
      <c r="DE205" s="354">
        <v>0</v>
      </c>
      <c r="DF205" s="354">
        <v>0</v>
      </c>
      <c r="DG205" s="354">
        <v>0</v>
      </c>
      <c r="DH205" s="354">
        <v>0</v>
      </c>
      <c r="DI205" s="354">
        <v>0</v>
      </c>
      <c r="DJ205" s="354">
        <v>135.92888900000003</v>
      </c>
      <c r="DK205" s="354">
        <v>135.92888900000003</v>
      </c>
      <c r="DL205" s="354">
        <v>135.92888900000003</v>
      </c>
      <c r="DM205" s="354">
        <v>0</v>
      </c>
      <c r="DN205" s="354">
        <v>135.92888900000003</v>
      </c>
      <c r="DO205" s="354">
        <v>135.92888900000003</v>
      </c>
      <c r="DP205" s="354">
        <v>135.92888900000003</v>
      </c>
      <c r="DQ205" s="354">
        <v>264.42666599999984</v>
      </c>
      <c r="DR205" s="354"/>
      <c r="DS205" s="354"/>
      <c r="DT205" s="354"/>
      <c r="DU205" s="354"/>
      <c r="DV205" s="354">
        <v>0</v>
      </c>
      <c r="DW205" s="543">
        <f t="shared" si="23"/>
        <v>1080</v>
      </c>
      <c r="DX205" s="858">
        <f>DW205+DW206+DW207</f>
        <v>1080</v>
      </c>
      <c r="DY205" s="704">
        <f>+DX205*1000000</f>
        <v>1080000000</v>
      </c>
      <c r="DZ205" s="870">
        <f>+DY205-D205</f>
        <v>0</v>
      </c>
      <c r="EA205" s="873">
        <f>VLOOKUP([12]POA!$B319,INTERPLAN,28,0)</f>
        <v>43449</v>
      </c>
      <c r="EB205" s="859">
        <f>+EDATE(EA205,C205)</f>
        <v>43631</v>
      </c>
      <c r="EC205" s="859">
        <f>EB205+30</f>
        <v>43661</v>
      </c>
      <c r="ED205" s="859" t="str">
        <f>CONCATENATE(MONTH(EA205),"-",YEAR(EA205))</f>
        <v>12-2018</v>
      </c>
      <c r="EE205" s="859" t="str">
        <f>CONCATENATE(MONTH(EB205),"-",YEAR(EB205))</f>
        <v>6-2019</v>
      </c>
      <c r="EF205" s="861" t="str">
        <f>CONCATENATE(MONTH(EC205),"-",YEAR(EC205))</f>
        <v>7-2019</v>
      </c>
      <c r="EG205" s="1105"/>
      <c r="EI205" s="858">
        <f>+DW205+DW206+DW207</f>
        <v>1080</v>
      </c>
      <c r="EJ205" s="877">
        <f>+D205/1000000-EI205</f>
        <v>0</v>
      </c>
      <c r="ER205" s="625"/>
    </row>
    <row r="206" spans="1:169" s="278" customFormat="1" outlineLevel="2" x14ac:dyDescent="0.2">
      <c r="A206" s="1083"/>
      <c r="B206" s="944"/>
      <c r="C206" s="955"/>
      <c r="D206" s="958"/>
      <c r="E206" s="867"/>
      <c r="F206" s="311" t="s">
        <v>210</v>
      </c>
      <c r="G206" s="363">
        <v>0</v>
      </c>
      <c r="H206" s="363">
        <v>0</v>
      </c>
      <c r="I206" s="363">
        <v>0</v>
      </c>
      <c r="J206" s="363">
        <v>0</v>
      </c>
      <c r="K206" s="363">
        <v>0</v>
      </c>
      <c r="L206" s="363">
        <v>0</v>
      </c>
      <c r="M206" s="363">
        <v>0</v>
      </c>
      <c r="N206" s="363">
        <v>0</v>
      </c>
      <c r="O206" s="363">
        <v>0</v>
      </c>
      <c r="P206" s="363">
        <v>0</v>
      </c>
      <c r="Q206" s="363">
        <v>0</v>
      </c>
      <c r="R206" s="363">
        <v>0</v>
      </c>
      <c r="S206" s="363">
        <v>0</v>
      </c>
      <c r="T206" s="363">
        <v>0</v>
      </c>
      <c r="U206" s="363">
        <v>0</v>
      </c>
      <c r="V206" s="363">
        <v>0</v>
      </c>
      <c r="W206" s="363">
        <v>0</v>
      </c>
      <c r="X206" s="363">
        <v>0</v>
      </c>
      <c r="Y206" s="363">
        <v>0</v>
      </c>
      <c r="Z206" s="363">
        <v>0</v>
      </c>
      <c r="AA206" s="363">
        <v>0</v>
      </c>
      <c r="AB206" s="363">
        <v>0</v>
      </c>
      <c r="AC206" s="363">
        <v>0</v>
      </c>
      <c r="AD206" s="363">
        <v>0</v>
      </c>
      <c r="AE206" s="363">
        <v>0</v>
      </c>
      <c r="AF206" s="363">
        <v>0</v>
      </c>
      <c r="AG206" s="363">
        <v>0</v>
      </c>
      <c r="AH206" s="363">
        <v>0</v>
      </c>
      <c r="AI206" s="363">
        <v>0</v>
      </c>
      <c r="AJ206" s="363">
        <v>0</v>
      </c>
      <c r="AK206" s="363">
        <v>0</v>
      </c>
      <c r="AL206" s="363">
        <v>0</v>
      </c>
      <c r="AM206" s="363">
        <v>0</v>
      </c>
      <c r="AN206" s="363">
        <v>0</v>
      </c>
      <c r="AO206" s="363">
        <v>0</v>
      </c>
      <c r="AP206" s="363">
        <v>0</v>
      </c>
      <c r="AQ206" s="363">
        <v>0</v>
      </c>
      <c r="AR206" s="363">
        <v>0</v>
      </c>
      <c r="AS206" s="363">
        <v>0</v>
      </c>
      <c r="AT206" s="363">
        <v>0</v>
      </c>
      <c r="AU206" s="363">
        <v>0</v>
      </c>
      <c r="AV206" s="363">
        <v>0</v>
      </c>
      <c r="AW206" s="363">
        <v>0</v>
      </c>
      <c r="AX206" s="363">
        <v>0</v>
      </c>
      <c r="AY206" s="363">
        <v>0</v>
      </c>
      <c r="AZ206" s="363">
        <v>0</v>
      </c>
      <c r="BA206" s="363">
        <v>0</v>
      </c>
      <c r="BB206" s="363">
        <v>0</v>
      </c>
      <c r="BC206" s="363">
        <v>0</v>
      </c>
      <c r="BD206" s="363">
        <v>0</v>
      </c>
      <c r="BE206" s="363">
        <v>0</v>
      </c>
      <c r="BF206" s="363">
        <v>0</v>
      </c>
      <c r="BG206" s="363">
        <v>0</v>
      </c>
      <c r="BH206" s="363">
        <v>0</v>
      </c>
      <c r="BI206" s="363">
        <v>0</v>
      </c>
      <c r="BJ206" s="363">
        <v>0</v>
      </c>
      <c r="BK206" s="363">
        <v>0</v>
      </c>
      <c r="BL206" s="363">
        <v>0</v>
      </c>
      <c r="BM206" s="363">
        <v>0</v>
      </c>
      <c r="BN206" s="363">
        <v>0</v>
      </c>
      <c r="BO206" s="363">
        <v>0</v>
      </c>
      <c r="BP206" s="363">
        <v>0</v>
      </c>
      <c r="BQ206" s="363">
        <v>0</v>
      </c>
      <c r="BR206" s="363">
        <v>0</v>
      </c>
      <c r="BS206" s="363">
        <v>0</v>
      </c>
      <c r="BT206" s="363">
        <v>0</v>
      </c>
      <c r="BU206" s="363">
        <v>0</v>
      </c>
      <c r="BV206" s="363">
        <v>0</v>
      </c>
      <c r="BW206" s="363">
        <v>0</v>
      </c>
      <c r="BX206" s="363">
        <v>0</v>
      </c>
      <c r="BY206" s="363">
        <v>0</v>
      </c>
      <c r="BZ206" s="363">
        <v>0</v>
      </c>
      <c r="CA206" s="363">
        <v>0</v>
      </c>
      <c r="CB206" s="363">
        <v>0</v>
      </c>
      <c r="CC206" s="363">
        <v>0</v>
      </c>
      <c r="CD206" s="363">
        <v>0</v>
      </c>
      <c r="CE206" s="363">
        <v>0</v>
      </c>
      <c r="CF206" s="363">
        <v>0</v>
      </c>
      <c r="CG206" s="363">
        <v>0</v>
      </c>
      <c r="CH206" s="363">
        <v>0</v>
      </c>
      <c r="CI206" s="363">
        <v>0</v>
      </c>
      <c r="CJ206" s="363">
        <v>0</v>
      </c>
      <c r="CK206" s="363">
        <v>0</v>
      </c>
      <c r="CL206" s="363">
        <v>0</v>
      </c>
      <c r="CM206" s="363">
        <v>0</v>
      </c>
      <c r="CN206" s="363">
        <v>0</v>
      </c>
      <c r="CO206" s="363">
        <v>0</v>
      </c>
      <c r="CP206" s="363">
        <v>0</v>
      </c>
      <c r="CQ206" s="363">
        <v>0</v>
      </c>
      <c r="CR206" s="363">
        <v>0</v>
      </c>
      <c r="CS206" s="363">
        <v>0</v>
      </c>
      <c r="CT206" s="363">
        <v>0</v>
      </c>
      <c r="CU206" s="363">
        <v>0</v>
      </c>
      <c r="CV206" s="363">
        <v>0</v>
      </c>
      <c r="CW206" s="363">
        <v>0</v>
      </c>
      <c r="CX206" s="363">
        <v>0</v>
      </c>
      <c r="CY206" s="363">
        <v>0</v>
      </c>
      <c r="CZ206" s="363">
        <v>0</v>
      </c>
      <c r="DA206" s="363">
        <v>0</v>
      </c>
      <c r="DB206" s="363">
        <v>0</v>
      </c>
      <c r="DC206" s="363">
        <v>0</v>
      </c>
      <c r="DD206" s="363">
        <v>0</v>
      </c>
      <c r="DE206" s="314"/>
      <c r="DF206" s="770"/>
      <c r="DG206" s="314"/>
      <c r="DH206" s="363"/>
      <c r="DI206" s="363"/>
      <c r="DJ206" s="363"/>
      <c r="DK206" s="363">
        <v>0</v>
      </c>
      <c r="DL206" s="363">
        <v>0</v>
      </c>
      <c r="DM206" s="363">
        <v>0</v>
      </c>
      <c r="DN206" s="363"/>
      <c r="DO206" s="363">
        <v>0</v>
      </c>
      <c r="DP206" s="363">
        <v>0</v>
      </c>
      <c r="DQ206" s="363">
        <v>0</v>
      </c>
      <c r="DR206" s="363">
        <v>0</v>
      </c>
      <c r="DS206" s="363">
        <v>0</v>
      </c>
      <c r="DT206" s="363">
        <v>0</v>
      </c>
      <c r="DU206" s="363">
        <v>0</v>
      </c>
      <c r="DV206" s="363">
        <v>0</v>
      </c>
      <c r="DW206" s="544">
        <f t="shared" si="23"/>
        <v>0</v>
      </c>
      <c r="DX206" s="858"/>
      <c r="DY206" s="705"/>
      <c r="DZ206" s="871"/>
      <c r="EA206" s="873"/>
      <c r="EB206" s="859"/>
      <c r="EC206" s="859"/>
      <c r="ED206" s="859"/>
      <c r="EE206" s="859"/>
      <c r="EF206" s="861"/>
      <c r="EG206" s="1106"/>
      <c r="EI206" s="858"/>
      <c r="EJ206" s="877"/>
      <c r="ER206" s="625"/>
    </row>
    <row r="207" spans="1:169" s="278" customFormat="1" ht="12.75" outlineLevel="2" thickBot="1" x14ac:dyDescent="0.25">
      <c r="A207" s="1084"/>
      <c r="B207" s="964"/>
      <c r="C207" s="956"/>
      <c r="D207" s="1020"/>
      <c r="E207" s="875"/>
      <c r="F207" s="313" t="s">
        <v>211</v>
      </c>
      <c r="G207" s="387">
        <v>0</v>
      </c>
      <c r="H207" s="387">
        <v>0</v>
      </c>
      <c r="I207" s="387">
        <v>0</v>
      </c>
      <c r="J207" s="387">
        <v>0</v>
      </c>
      <c r="K207" s="387">
        <v>0</v>
      </c>
      <c r="L207" s="387">
        <v>0</v>
      </c>
      <c r="M207" s="387">
        <v>0</v>
      </c>
      <c r="N207" s="387">
        <v>0</v>
      </c>
      <c r="O207" s="387">
        <v>0</v>
      </c>
      <c r="P207" s="387">
        <v>0</v>
      </c>
      <c r="Q207" s="387">
        <v>0</v>
      </c>
      <c r="R207" s="387">
        <v>0</v>
      </c>
      <c r="S207" s="387">
        <v>0</v>
      </c>
      <c r="T207" s="387">
        <v>0</v>
      </c>
      <c r="U207" s="387">
        <v>0</v>
      </c>
      <c r="V207" s="387">
        <v>0</v>
      </c>
      <c r="W207" s="387">
        <v>0</v>
      </c>
      <c r="X207" s="387">
        <v>0</v>
      </c>
      <c r="Y207" s="387">
        <v>0</v>
      </c>
      <c r="Z207" s="387">
        <v>0</v>
      </c>
      <c r="AA207" s="387">
        <v>0</v>
      </c>
      <c r="AB207" s="387">
        <v>0</v>
      </c>
      <c r="AC207" s="387">
        <v>0</v>
      </c>
      <c r="AD207" s="387">
        <v>0</v>
      </c>
      <c r="AE207" s="387">
        <v>0</v>
      </c>
      <c r="AF207" s="387">
        <v>0</v>
      </c>
      <c r="AG207" s="387">
        <v>0</v>
      </c>
      <c r="AH207" s="387">
        <v>0</v>
      </c>
      <c r="AI207" s="387">
        <v>0</v>
      </c>
      <c r="AJ207" s="387">
        <v>0</v>
      </c>
      <c r="AK207" s="387">
        <v>0</v>
      </c>
      <c r="AL207" s="387">
        <v>0</v>
      </c>
      <c r="AM207" s="387">
        <v>0</v>
      </c>
      <c r="AN207" s="387">
        <v>0</v>
      </c>
      <c r="AO207" s="387">
        <v>0</v>
      </c>
      <c r="AP207" s="387">
        <v>0</v>
      </c>
      <c r="AQ207" s="387">
        <v>0</v>
      </c>
      <c r="AR207" s="387">
        <v>0</v>
      </c>
      <c r="AS207" s="387">
        <v>0</v>
      </c>
      <c r="AT207" s="387">
        <v>0</v>
      </c>
      <c r="AU207" s="387">
        <v>0</v>
      </c>
      <c r="AV207" s="387">
        <v>0</v>
      </c>
      <c r="AW207" s="387">
        <v>0</v>
      </c>
      <c r="AX207" s="387">
        <v>0</v>
      </c>
      <c r="AY207" s="387">
        <v>0</v>
      </c>
      <c r="AZ207" s="387">
        <v>0</v>
      </c>
      <c r="BA207" s="387">
        <v>0</v>
      </c>
      <c r="BB207" s="387">
        <v>0</v>
      </c>
      <c r="BC207" s="387">
        <v>0</v>
      </c>
      <c r="BD207" s="387">
        <v>0</v>
      </c>
      <c r="BE207" s="387">
        <v>0</v>
      </c>
      <c r="BF207" s="387">
        <v>0</v>
      </c>
      <c r="BG207" s="387">
        <v>0</v>
      </c>
      <c r="BH207" s="387">
        <v>0</v>
      </c>
      <c r="BI207" s="387">
        <v>0</v>
      </c>
      <c r="BJ207" s="387">
        <v>0</v>
      </c>
      <c r="BK207" s="387">
        <v>0</v>
      </c>
      <c r="BL207" s="387">
        <v>0</v>
      </c>
      <c r="BM207" s="387">
        <v>0</v>
      </c>
      <c r="BN207" s="387">
        <v>0</v>
      </c>
      <c r="BO207" s="387">
        <v>0</v>
      </c>
      <c r="BP207" s="387">
        <v>0</v>
      </c>
      <c r="BQ207" s="387">
        <v>0</v>
      </c>
      <c r="BR207" s="387">
        <v>0</v>
      </c>
      <c r="BS207" s="387">
        <v>0</v>
      </c>
      <c r="BT207" s="387">
        <v>0</v>
      </c>
      <c r="BU207" s="387">
        <v>0</v>
      </c>
      <c r="BV207" s="387">
        <v>0</v>
      </c>
      <c r="BW207" s="387">
        <v>0</v>
      </c>
      <c r="BX207" s="387">
        <v>0</v>
      </c>
      <c r="BY207" s="387">
        <v>0</v>
      </c>
      <c r="BZ207" s="387">
        <v>0</v>
      </c>
      <c r="CA207" s="387">
        <v>0</v>
      </c>
      <c r="CB207" s="387">
        <v>0</v>
      </c>
      <c r="CC207" s="387">
        <v>0</v>
      </c>
      <c r="CD207" s="387">
        <v>0</v>
      </c>
      <c r="CE207" s="387">
        <v>0</v>
      </c>
      <c r="CF207" s="387">
        <v>0</v>
      </c>
      <c r="CG207" s="387">
        <v>0</v>
      </c>
      <c r="CH207" s="387">
        <v>0</v>
      </c>
      <c r="CI207" s="387">
        <v>0</v>
      </c>
      <c r="CJ207" s="387">
        <v>0</v>
      </c>
      <c r="CK207" s="387">
        <v>0</v>
      </c>
      <c r="CL207" s="387">
        <v>0</v>
      </c>
      <c r="CM207" s="387">
        <v>0</v>
      </c>
      <c r="CN207" s="387">
        <v>0</v>
      </c>
      <c r="CO207" s="387">
        <v>0</v>
      </c>
      <c r="CP207" s="387">
        <v>0</v>
      </c>
      <c r="CQ207" s="387">
        <v>0</v>
      </c>
      <c r="CR207" s="652"/>
      <c r="CS207" s="652"/>
      <c r="CT207" s="652"/>
      <c r="CU207" s="652"/>
      <c r="CV207" s="652"/>
      <c r="CW207" s="652"/>
      <c r="CX207" s="652"/>
      <c r="CY207" s="652"/>
      <c r="CZ207" s="652"/>
      <c r="DA207" s="652"/>
      <c r="DB207" s="652"/>
      <c r="DC207" s="652"/>
      <c r="DD207" s="652"/>
      <c r="DE207" s="652"/>
      <c r="DF207" s="652"/>
      <c r="DG207" s="652"/>
      <c r="DH207" s="314"/>
      <c r="DI207" s="387"/>
      <c r="DJ207" s="387"/>
      <c r="DK207" s="387"/>
      <c r="DL207" s="387"/>
      <c r="DM207" s="387"/>
      <c r="DN207" s="387"/>
      <c r="DO207" s="387"/>
      <c r="DP207" s="387"/>
      <c r="DQ207" s="387"/>
      <c r="DR207" s="387"/>
      <c r="DS207" s="387"/>
      <c r="DT207" s="387"/>
      <c r="DU207" s="387"/>
      <c r="DV207" s="387"/>
      <c r="DW207" s="545">
        <f t="shared" si="23"/>
        <v>0</v>
      </c>
      <c r="DX207" s="858"/>
      <c r="DY207" s="706"/>
      <c r="DZ207" s="872"/>
      <c r="EA207" s="873"/>
      <c r="EB207" s="859"/>
      <c r="EC207" s="859"/>
      <c r="ED207" s="859"/>
      <c r="EE207" s="859"/>
      <c r="EF207" s="861"/>
      <c r="EG207" s="1107"/>
      <c r="EI207" s="858"/>
      <c r="EJ207" s="877"/>
      <c r="ER207" s="625"/>
    </row>
    <row r="208" spans="1:169" s="278" customFormat="1" ht="24" outlineLevel="2" x14ac:dyDescent="0.2">
      <c r="A208" s="1007" t="s">
        <v>614</v>
      </c>
      <c r="B208" s="940" t="s">
        <v>611</v>
      </c>
      <c r="C208" s="931">
        <v>7</v>
      </c>
      <c r="D208" s="934">
        <f>+IFERROR(VLOOKUP(B208,'Detalle Plan de Adquisiciones'!$G$6:$M$66,7,FALSE),0)</f>
        <v>2758000000</v>
      </c>
      <c r="E208" s="866" t="str">
        <f>+'Detalle Plan de Adquisiciones'!F24</f>
        <v>CONSTRUCCIÓN DEL PAVIMENTO RÍGIDO, ANDENES Y ESPACIO PUBLICO DE LA CARRERA 2 ENTRE LA CALLE 31 Y CALLE 37, ID (204). PERTENECIENTE AL SISTEMA ESTRATÉGICO DE TRANSPORTE PUBLICO "SETP" DE LA CIUDAD DE MONTERÍA.</v>
      </c>
      <c r="F208" s="312" t="s">
        <v>410</v>
      </c>
      <c r="G208" s="354">
        <v>0</v>
      </c>
      <c r="H208" s="354">
        <v>0</v>
      </c>
      <c r="I208" s="354">
        <v>0</v>
      </c>
      <c r="J208" s="354">
        <v>0</v>
      </c>
      <c r="K208" s="354">
        <v>0</v>
      </c>
      <c r="L208" s="354">
        <v>0</v>
      </c>
      <c r="M208" s="354">
        <v>0</v>
      </c>
      <c r="N208" s="354">
        <v>0</v>
      </c>
      <c r="O208" s="354">
        <v>0</v>
      </c>
      <c r="P208" s="354">
        <v>0</v>
      </c>
      <c r="Q208" s="354">
        <v>0</v>
      </c>
      <c r="R208" s="354">
        <v>0</v>
      </c>
      <c r="S208" s="354">
        <v>0</v>
      </c>
      <c r="T208" s="354">
        <v>0</v>
      </c>
      <c r="U208" s="354">
        <v>0</v>
      </c>
      <c r="V208" s="354">
        <v>0</v>
      </c>
      <c r="W208" s="354">
        <v>0</v>
      </c>
      <c r="X208" s="354">
        <v>0</v>
      </c>
      <c r="Y208" s="354">
        <v>0</v>
      </c>
      <c r="Z208" s="354">
        <v>0</v>
      </c>
      <c r="AA208" s="354">
        <v>0</v>
      </c>
      <c r="AB208" s="354">
        <v>0</v>
      </c>
      <c r="AC208" s="354">
        <v>0</v>
      </c>
      <c r="AD208" s="354">
        <v>0</v>
      </c>
      <c r="AE208" s="354">
        <v>0</v>
      </c>
      <c r="AF208" s="354">
        <v>0</v>
      </c>
      <c r="AG208" s="354">
        <v>0</v>
      </c>
      <c r="AH208" s="354">
        <v>0</v>
      </c>
      <c r="AI208" s="354">
        <v>0</v>
      </c>
      <c r="AJ208" s="354">
        <v>0</v>
      </c>
      <c r="AK208" s="354">
        <v>0</v>
      </c>
      <c r="AL208" s="354">
        <v>0</v>
      </c>
      <c r="AM208" s="354">
        <v>0</v>
      </c>
      <c r="AN208" s="354">
        <v>0</v>
      </c>
      <c r="AO208" s="354">
        <v>0</v>
      </c>
      <c r="AP208" s="354">
        <v>0</v>
      </c>
      <c r="AQ208" s="354">
        <v>0</v>
      </c>
      <c r="AR208" s="354">
        <v>0</v>
      </c>
      <c r="AS208" s="354">
        <v>0</v>
      </c>
      <c r="AT208" s="354">
        <v>0</v>
      </c>
      <c r="AU208" s="354">
        <v>0</v>
      </c>
      <c r="AV208" s="354">
        <v>0</v>
      </c>
      <c r="AW208" s="354">
        <v>0</v>
      </c>
      <c r="AX208" s="354">
        <v>0</v>
      </c>
      <c r="AY208" s="354">
        <v>0</v>
      </c>
      <c r="AZ208" s="354">
        <v>0</v>
      </c>
      <c r="BA208" s="354">
        <v>0</v>
      </c>
      <c r="BB208" s="354">
        <v>0</v>
      </c>
      <c r="BC208" s="354">
        <v>0</v>
      </c>
      <c r="BD208" s="354">
        <v>0</v>
      </c>
      <c r="BE208" s="354">
        <v>0</v>
      </c>
      <c r="BF208" s="354">
        <v>0</v>
      </c>
      <c r="BG208" s="354">
        <v>0</v>
      </c>
      <c r="BH208" s="354">
        <v>0</v>
      </c>
      <c r="BI208" s="354">
        <v>0</v>
      </c>
      <c r="BJ208" s="354">
        <v>0</v>
      </c>
      <c r="BK208" s="354">
        <v>0</v>
      </c>
      <c r="BL208" s="354">
        <v>0</v>
      </c>
      <c r="BM208" s="354">
        <v>0</v>
      </c>
      <c r="BN208" s="354">
        <v>0</v>
      </c>
      <c r="BO208" s="354">
        <v>0</v>
      </c>
      <c r="BP208" s="354">
        <v>0</v>
      </c>
      <c r="BQ208" s="354">
        <v>0</v>
      </c>
      <c r="BR208" s="354">
        <v>0</v>
      </c>
      <c r="BS208" s="354">
        <v>0</v>
      </c>
      <c r="BT208" s="354">
        <v>0</v>
      </c>
      <c r="BU208" s="354">
        <v>0</v>
      </c>
      <c r="BV208" s="354">
        <v>0</v>
      </c>
      <c r="BW208" s="354">
        <v>0</v>
      </c>
      <c r="BX208" s="354">
        <v>0</v>
      </c>
      <c r="BY208" s="354">
        <v>0</v>
      </c>
      <c r="BZ208" s="354">
        <v>0</v>
      </c>
      <c r="CA208" s="354">
        <v>0</v>
      </c>
      <c r="CB208" s="354">
        <v>0</v>
      </c>
      <c r="CC208" s="354">
        <v>0</v>
      </c>
      <c r="CD208" s="354">
        <v>0</v>
      </c>
      <c r="CE208" s="354">
        <v>0</v>
      </c>
      <c r="CF208" s="354">
        <v>0</v>
      </c>
      <c r="CG208" s="354">
        <v>0</v>
      </c>
      <c r="CH208" s="354">
        <v>0</v>
      </c>
      <c r="CI208" s="354">
        <v>0</v>
      </c>
      <c r="CJ208" s="354">
        <v>0</v>
      </c>
      <c r="CK208" s="354">
        <v>0</v>
      </c>
      <c r="CL208" s="354">
        <v>0</v>
      </c>
      <c r="CM208" s="354">
        <v>0</v>
      </c>
      <c r="CN208" s="354">
        <v>0</v>
      </c>
      <c r="CO208" s="354">
        <v>0</v>
      </c>
      <c r="CP208" s="354">
        <v>0</v>
      </c>
      <c r="CQ208" s="354">
        <v>0</v>
      </c>
      <c r="CR208" s="354">
        <v>0</v>
      </c>
      <c r="CS208" s="354">
        <v>0</v>
      </c>
      <c r="CT208" s="354">
        <v>0</v>
      </c>
      <c r="CU208" s="354">
        <v>0</v>
      </c>
      <c r="CV208" s="354">
        <v>0</v>
      </c>
      <c r="CW208" s="354">
        <v>0</v>
      </c>
      <c r="CX208" s="354">
        <v>0</v>
      </c>
      <c r="CY208" s="354">
        <v>0</v>
      </c>
      <c r="CZ208" s="354">
        <v>0</v>
      </c>
      <c r="DA208" s="354">
        <v>0</v>
      </c>
      <c r="DB208" s="354">
        <v>0</v>
      </c>
      <c r="DC208" s="354">
        <v>0</v>
      </c>
      <c r="DD208" s="354">
        <v>0</v>
      </c>
      <c r="DE208" s="354">
        <v>0</v>
      </c>
      <c r="DF208" s="354">
        <v>0</v>
      </c>
      <c r="DG208" s="354">
        <v>0</v>
      </c>
      <c r="DH208" s="354">
        <v>0</v>
      </c>
      <c r="DI208" s="354">
        <v>0</v>
      </c>
      <c r="DJ208" s="354">
        <v>0</v>
      </c>
      <c r="DK208" s="354"/>
      <c r="DL208" s="383">
        <f>+$D$208/1000000*0.1</f>
        <v>275.8</v>
      </c>
      <c r="DM208" s="354">
        <f>+$D$208*0.8/1000000/7</f>
        <v>315.2</v>
      </c>
      <c r="DN208" s="354">
        <f t="shared" ref="DN208:DS208" si="31">+$D$208*0.8/1000000/7</f>
        <v>315.2</v>
      </c>
      <c r="DO208" s="354">
        <f t="shared" si="31"/>
        <v>315.2</v>
      </c>
      <c r="DP208" s="354">
        <f t="shared" si="31"/>
        <v>315.2</v>
      </c>
      <c r="DQ208" s="354">
        <f t="shared" si="31"/>
        <v>315.2</v>
      </c>
      <c r="DR208" s="354">
        <f t="shared" si="31"/>
        <v>315.2</v>
      </c>
      <c r="DS208" s="354">
        <f t="shared" si="31"/>
        <v>315.2</v>
      </c>
      <c r="DT208" s="354">
        <v>275.8</v>
      </c>
      <c r="DU208" s="314"/>
      <c r="DV208" s="354">
        <v>0</v>
      </c>
      <c r="DW208" s="543">
        <f t="shared" ref="DW208:DW219" si="32">SUM(G208:DV208)</f>
        <v>2758</v>
      </c>
      <c r="DX208" s="858">
        <f>DW208+DW209+DW210</f>
        <v>2758</v>
      </c>
      <c r="DY208" s="704">
        <f>+DX208*1000000</f>
        <v>2758000000</v>
      </c>
      <c r="DZ208" s="870">
        <f>+DY208-D208</f>
        <v>0</v>
      </c>
      <c r="EA208" s="640"/>
      <c r="EB208" s="638"/>
      <c r="EC208" s="638"/>
      <c r="ED208" s="638"/>
      <c r="EE208" s="638"/>
      <c r="EF208" s="639"/>
      <c r="EG208" s="641"/>
      <c r="EI208" s="636"/>
      <c r="EJ208" s="642"/>
      <c r="ER208" s="497"/>
    </row>
    <row r="209" spans="1:148" s="278" customFormat="1" outlineLevel="2" x14ac:dyDescent="0.2">
      <c r="A209" s="1008"/>
      <c r="B209" s="941"/>
      <c r="C209" s="932"/>
      <c r="D209" s="935"/>
      <c r="E209" s="867"/>
      <c r="F209" s="311" t="s">
        <v>210</v>
      </c>
      <c r="G209" s="363">
        <v>0</v>
      </c>
      <c r="H209" s="363">
        <v>0</v>
      </c>
      <c r="I209" s="363">
        <v>0</v>
      </c>
      <c r="J209" s="363">
        <v>0</v>
      </c>
      <c r="K209" s="363">
        <v>0</v>
      </c>
      <c r="L209" s="363">
        <v>0</v>
      </c>
      <c r="M209" s="363">
        <v>0</v>
      </c>
      <c r="N209" s="363">
        <v>0</v>
      </c>
      <c r="O209" s="363">
        <v>0</v>
      </c>
      <c r="P209" s="363">
        <v>0</v>
      </c>
      <c r="Q209" s="363">
        <v>0</v>
      </c>
      <c r="R209" s="363">
        <v>0</v>
      </c>
      <c r="S209" s="363">
        <v>0</v>
      </c>
      <c r="T209" s="363">
        <v>0</v>
      </c>
      <c r="U209" s="363">
        <v>0</v>
      </c>
      <c r="V209" s="363">
        <v>0</v>
      </c>
      <c r="W209" s="363">
        <v>0</v>
      </c>
      <c r="X209" s="363">
        <v>0</v>
      </c>
      <c r="Y209" s="363">
        <v>0</v>
      </c>
      <c r="Z209" s="363">
        <v>0</v>
      </c>
      <c r="AA209" s="363">
        <v>0</v>
      </c>
      <c r="AB209" s="363">
        <v>0</v>
      </c>
      <c r="AC209" s="363">
        <v>0</v>
      </c>
      <c r="AD209" s="363">
        <v>0</v>
      </c>
      <c r="AE209" s="363">
        <v>0</v>
      </c>
      <c r="AF209" s="363">
        <v>0</v>
      </c>
      <c r="AG209" s="363">
        <v>0</v>
      </c>
      <c r="AH209" s="363">
        <v>0</v>
      </c>
      <c r="AI209" s="363">
        <v>0</v>
      </c>
      <c r="AJ209" s="363">
        <v>0</v>
      </c>
      <c r="AK209" s="363">
        <v>0</v>
      </c>
      <c r="AL209" s="363">
        <v>0</v>
      </c>
      <c r="AM209" s="363">
        <v>0</v>
      </c>
      <c r="AN209" s="363">
        <v>0</v>
      </c>
      <c r="AO209" s="363">
        <v>0</v>
      </c>
      <c r="AP209" s="363">
        <v>0</v>
      </c>
      <c r="AQ209" s="363">
        <v>0</v>
      </c>
      <c r="AR209" s="363">
        <v>0</v>
      </c>
      <c r="AS209" s="363">
        <v>0</v>
      </c>
      <c r="AT209" s="363">
        <v>0</v>
      </c>
      <c r="AU209" s="363">
        <v>0</v>
      </c>
      <c r="AV209" s="363">
        <v>0</v>
      </c>
      <c r="AW209" s="363">
        <v>0</v>
      </c>
      <c r="AX209" s="363">
        <v>0</v>
      </c>
      <c r="AY209" s="363">
        <v>0</v>
      </c>
      <c r="AZ209" s="363">
        <v>0</v>
      </c>
      <c r="BA209" s="363">
        <v>0</v>
      </c>
      <c r="BB209" s="363">
        <v>0</v>
      </c>
      <c r="BC209" s="363">
        <v>0</v>
      </c>
      <c r="BD209" s="363">
        <v>0</v>
      </c>
      <c r="BE209" s="363">
        <v>0</v>
      </c>
      <c r="BF209" s="363">
        <v>0</v>
      </c>
      <c r="BG209" s="363">
        <v>0</v>
      </c>
      <c r="BH209" s="363">
        <v>0</v>
      </c>
      <c r="BI209" s="363">
        <v>0</v>
      </c>
      <c r="BJ209" s="363">
        <v>0</v>
      </c>
      <c r="BK209" s="363">
        <v>0</v>
      </c>
      <c r="BL209" s="363">
        <v>0</v>
      </c>
      <c r="BM209" s="363">
        <v>0</v>
      </c>
      <c r="BN209" s="363">
        <v>0</v>
      </c>
      <c r="BO209" s="363">
        <v>0</v>
      </c>
      <c r="BP209" s="363">
        <v>0</v>
      </c>
      <c r="BQ209" s="363">
        <v>0</v>
      </c>
      <c r="BR209" s="363">
        <v>0</v>
      </c>
      <c r="BS209" s="363">
        <v>0</v>
      </c>
      <c r="BT209" s="363">
        <v>0</v>
      </c>
      <c r="BU209" s="363">
        <v>0</v>
      </c>
      <c r="BV209" s="363">
        <v>0</v>
      </c>
      <c r="BW209" s="363">
        <v>0</v>
      </c>
      <c r="BX209" s="363">
        <v>0</v>
      </c>
      <c r="BY209" s="363">
        <v>0</v>
      </c>
      <c r="BZ209" s="363">
        <v>0</v>
      </c>
      <c r="CA209" s="363">
        <v>0</v>
      </c>
      <c r="CB209" s="363">
        <v>0</v>
      </c>
      <c r="CC209" s="363">
        <v>0</v>
      </c>
      <c r="CD209" s="363">
        <v>0</v>
      </c>
      <c r="CE209" s="363">
        <v>0</v>
      </c>
      <c r="CF209" s="363">
        <v>0</v>
      </c>
      <c r="CG209" s="363">
        <v>0</v>
      </c>
      <c r="CH209" s="363">
        <v>0</v>
      </c>
      <c r="CI209" s="363">
        <v>0</v>
      </c>
      <c r="CJ209" s="363">
        <v>0</v>
      </c>
      <c r="CK209" s="363">
        <v>0</v>
      </c>
      <c r="CL209" s="363">
        <v>0</v>
      </c>
      <c r="CM209" s="363">
        <v>0</v>
      </c>
      <c r="CN209" s="363">
        <v>0</v>
      </c>
      <c r="CO209" s="363">
        <v>0</v>
      </c>
      <c r="CP209" s="363">
        <v>0</v>
      </c>
      <c r="CQ209" s="363">
        <v>0</v>
      </c>
      <c r="CR209" s="363">
        <v>0</v>
      </c>
      <c r="CS209" s="363">
        <v>0</v>
      </c>
      <c r="CT209" s="363">
        <v>0</v>
      </c>
      <c r="CU209" s="363">
        <v>0</v>
      </c>
      <c r="CV209" s="363">
        <v>0</v>
      </c>
      <c r="CW209" s="363">
        <v>0</v>
      </c>
      <c r="CX209" s="363">
        <v>0</v>
      </c>
      <c r="CY209" s="363">
        <v>0</v>
      </c>
      <c r="CZ209" s="363">
        <v>0</v>
      </c>
      <c r="DA209" s="363">
        <v>0</v>
      </c>
      <c r="DB209" s="363">
        <v>0</v>
      </c>
      <c r="DC209" s="363">
        <v>0</v>
      </c>
      <c r="DD209" s="363">
        <v>0</v>
      </c>
      <c r="DE209" s="363">
        <v>0</v>
      </c>
      <c r="DF209" s="363">
        <v>0</v>
      </c>
      <c r="DG209" s="363">
        <v>0</v>
      </c>
      <c r="DH209" s="363">
        <v>0</v>
      </c>
      <c r="DI209" s="363">
        <v>0</v>
      </c>
      <c r="DJ209" s="363">
        <v>0</v>
      </c>
      <c r="DK209" s="363"/>
      <c r="DL209" s="363">
        <v>0</v>
      </c>
      <c r="DM209" s="363">
        <v>0</v>
      </c>
      <c r="DN209" s="363">
        <v>0</v>
      </c>
      <c r="DO209" s="363">
        <v>0</v>
      </c>
      <c r="DP209" s="363">
        <v>0</v>
      </c>
      <c r="DQ209" s="363">
        <v>0</v>
      </c>
      <c r="DR209" s="363">
        <v>0</v>
      </c>
      <c r="DS209" s="363">
        <v>0</v>
      </c>
      <c r="DT209" s="363">
        <v>0</v>
      </c>
      <c r="DU209" s="363">
        <v>0</v>
      </c>
      <c r="DV209" s="363">
        <v>0</v>
      </c>
      <c r="DW209" s="544">
        <f t="shared" si="32"/>
        <v>0</v>
      </c>
      <c r="DX209" s="858"/>
      <c r="DY209" s="705"/>
      <c r="DZ209" s="871"/>
      <c r="EA209" s="640"/>
      <c r="EB209" s="638"/>
      <c r="EC209" s="638"/>
      <c r="ED209" s="638"/>
      <c r="EE209" s="638"/>
      <c r="EF209" s="639"/>
      <c r="EG209" s="641"/>
      <c r="EI209" s="636"/>
      <c r="EJ209" s="642"/>
      <c r="ER209" s="497"/>
    </row>
    <row r="210" spans="1:148" s="278" customFormat="1" ht="43.5" customHeight="1" outlineLevel="2" thickBot="1" x14ac:dyDescent="0.25">
      <c r="A210" s="1009"/>
      <c r="B210" s="942"/>
      <c r="C210" s="933"/>
      <c r="D210" s="936"/>
      <c r="E210" s="875"/>
      <c r="F210" s="313" t="s">
        <v>211</v>
      </c>
      <c r="G210" s="387">
        <v>0</v>
      </c>
      <c r="H210" s="387">
        <v>0</v>
      </c>
      <c r="I210" s="387">
        <v>0</v>
      </c>
      <c r="J210" s="387">
        <v>0</v>
      </c>
      <c r="K210" s="387">
        <v>0</v>
      </c>
      <c r="L210" s="387">
        <v>0</v>
      </c>
      <c r="M210" s="387">
        <v>0</v>
      </c>
      <c r="N210" s="387">
        <v>0</v>
      </c>
      <c r="O210" s="387">
        <v>0</v>
      </c>
      <c r="P210" s="387">
        <v>0</v>
      </c>
      <c r="Q210" s="387">
        <v>0</v>
      </c>
      <c r="R210" s="387">
        <v>0</v>
      </c>
      <c r="S210" s="387">
        <v>0</v>
      </c>
      <c r="T210" s="387">
        <v>0</v>
      </c>
      <c r="U210" s="387">
        <v>0</v>
      </c>
      <c r="V210" s="387">
        <v>0</v>
      </c>
      <c r="W210" s="387">
        <v>0</v>
      </c>
      <c r="X210" s="387">
        <v>0</v>
      </c>
      <c r="Y210" s="387">
        <v>0</v>
      </c>
      <c r="Z210" s="387">
        <v>0</v>
      </c>
      <c r="AA210" s="387">
        <v>0</v>
      </c>
      <c r="AB210" s="387">
        <v>0</v>
      </c>
      <c r="AC210" s="387">
        <v>0</v>
      </c>
      <c r="AD210" s="387">
        <v>0</v>
      </c>
      <c r="AE210" s="387">
        <v>0</v>
      </c>
      <c r="AF210" s="387">
        <v>0</v>
      </c>
      <c r="AG210" s="387">
        <v>0</v>
      </c>
      <c r="AH210" s="387">
        <v>0</v>
      </c>
      <c r="AI210" s="387">
        <v>0</v>
      </c>
      <c r="AJ210" s="387">
        <v>0</v>
      </c>
      <c r="AK210" s="387">
        <v>0</v>
      </c>
      <c r="AL210" s="387">
        <v>0</v>
      </c>
      <c r="AM210" s="387">
        <v>0</v>
      </c>
      <c r="AN210" s="387">
        <v>0</v>
      </c>
      <c r="AO210" s="387">
        <v>0</v>
      </c>
      <c r="AP210" s="387">
        <v>0</v>
      </c>
      <c r="AQ210" s="387">
        <v>0</v>
      </c>
      <c r="AR210" s="387">
        <v>0</v>
      </c>
      <c r="AS210" s="387">
        <v>0</v>
      </c>
      <c r="AT210" s="387">
        <v>0</v>
      </c>
      <c r="AU210" s="387">
        <v>0</v>
      </c>
      <c r="AV210" s="387">
        <v>0</v>
      </c>
      <c r="AW210" s="387">
        <v>0</v>
      </c>
      <c r="AX210" s="387">
        <v>0</v>
      </c>
      <c r="AY210" s="387">
        <v>0</v>
      </c>
      <c r="AZ210" s="387">
        <v>0</v>
      </c>
      <c r="BA210" s="387">
        <v>0</v>
      </c>
      <c r="BB210" s="387">
        <v>0</v>
      </c>
      <c r="BC210" s="387">
        <v>0</v>
      </c>
      <c r="BD210" s="387">
        <v>0</v>
      </c>
      <c r="BE210" s="387">
        <v>0</v>
      </c>
      <c r="BF210" s="387">
        <v>0</v>
      </c>
      <c r="BG210" s="387">
        <v>0</v>
      </c>
      <c r="BH210" s="387">
        <v>0</v>
      </c>
      <c r="BI210" s="387">
        <v>0</v>
      </c>
      <c r="BJ210" s="387">
        <v>0</v>
      </c>
      <c r="BK210" s="387">
        <v>0</v>
      </c>
      <c r="BL210" s="387">
        <v>0</v>
      </c>
      <c r="BM210" s="387">
        <v>0</v>
      </c>
      <c r="BN210" s="387">
        <v>0</v>
      </c>
      <c r="BO210" s="387">
        <v>0</v>
      </c>
      <c r="BP210" s="387">
        <v>0</v>
      </c>
      <c r="BQ210" s="387">
        <v>0</v>
      </c>
      <c r="BR210" s="387">
        <v>0</v>
      </c>
      <c r="BS210" s="387">
        <v>0</v>
      </c>
      <c r="BT210" s="387">
        <v>0</v>
      </c>
      <c r="BU210" s="387">
        <v>0</v>
      </c>
      <c r="BV210" s="387">
        <v>0</v>
      </c>
      <c r="BW210" s="387">
        <v>0</v>
      </c>
      <c r="BX210" s="387">
        <v>0</v>
      </c>
      <c r="BY210" s="387">
        <v>0</v>
      </c>
      <c r="BZ210" s="387">
        <v>0</v>
      </c>
      <c r="CA210" s="387">
        <v>0</v>
      </c>
      <c r="CB210" s="387">
        <v>0</v>
      </c>
      <c r="CC210" s="387">
        <v>0</v>
      </c>
      <c r="CD210" s="387">
        <v>0</v>
      </c>
      <c r="CE210" s="387">
        <v>0</v>
      </c>
      <c r="CF210" s="387">
        <v>0</v>
      </c>
      <c r="CG210" s="387">
        <v>0</v>
      </c>
      <c r="CH210" s="387">
        <v>0</v>
      </c>
      <c r="CI210" s="387">
        <v>0</v>
      </c>
      <c r="CJ210" s="387">
        <v>0</v>
      </c>
      <c r="CK210" s="387">
        <v>0</v>
      </c>
      <c r="CL210" s="387">
        <v>0</v>
      </c>
      <c r="CM210" s="387">
        <v>0</v>
      </c>
      <c r="CN210" s="387">
        <v>0</v>
      </c>
      <c r="CO210" s="387">
        <v>0</v>
      </c>
      <c r="CP210" s="387">
        <v>0</v>
      </c>
      <c r="CQ210" s="387">
        <v>0</v>
      </c>
      <c r="CR210" s="387">
        <v>0</v>
      </c>
      <c r="CS210" s="387">
        <v>0</v>
      </c>
      <c r="CT210" s="387">
        <v>0</v>
      </c>
      <c r="CU210" s="387">
        <v>0</v>
      </c>
      <c r="CV210" s="387">
        <v>0</v>
      </c>
      <c r="CW210" s="387">
        <v>0</v>
      </c>
      <c r="CX210" s="387">
        <v>0</v>
      </c>
      <c r="CY210" s="387">
        <v>0</v>
      </c>
      <c r="CZ210" s="387">
        <v>0</v>
      </c>
      <c r="DA210" s="387">
        <v>0</v>
      </c>
      <c r="DB210" s="387">
        <v>0</v>
      </c>
      <c r="DC210" s="387">
        <v>0</v>
      </c>
      <c r="DD210" s="387">
        <v>0</v>
      </c>
      <c r="DE210" s="387">
        <v>0</v>
      </c>
      <c r="DF210" s="387">
        <v>0</v>
      </c>
      <c r="DG210" s="387">
        <v>0</v>
      </c>
      <c r="DH210" s="387">
        <v>0</v>
      </c>
      <c r="DI210" s="387">
        <v>0</v>
      </c>
      <c r="DJ210" s="387">
        <v>0</v>
      </c>
      <c r="DK210" s="387">
        <v>0</v>
      </c>
      <c r="DL210" s="387">
        <v>0</v>
      </c>
      <c r="DM210" s="387">
        <v>0</v>
      </c>
      <c r="DN210" s="387">
        <v>0</v>
      </c>
      <c r="DO210" s="387">
        <v>0</v>
      </c>
      <c r="DP210" s="387">
        <v>0</v>
      </c>
      <c r="DQ210" s="387">
        <v>0</v>
      </c>
      <c r="DR210" s="387">
        <v>0</v>
      </c>
      <c r="DS210" s="387">
        <v>0</v>
      </c>
      <c r="DT210" s="387">
        <v>0</v>
      </c>
      <c r="DU210" s="387">
        <v>0</v>
      </c>
      <c r="DV210" s="387">
        <v>0</v>
      </c>
      <c r="DW210" s="545">
        <f t="shared" si="32"/>
        <v>0</v>
      </c>
      <c r="DX210" s="858"/>
      <c r="DY210" s="706"/>
      <c r="DZ210" s="872"/>
      <c r="EA210" s="640"/>
      <c r="EB210" s="638"/>
      <c r="EC210" s="638"/>
      <c r="ED210" s="638"/>
      <c r="EE210" s="638"/>
      <c r="EF210" s="639"/>
      <c r="EG210" s="641"/>
      <c r="EI210" s="636"/>
      <c r="EJ210" s="642"/>
      <c r="ER210" s="497"/>
    </row>
    <row r="211" spans="1:148" s="278" customFormat="1" ht="29.25" customHeight="1" outlineLevel="2" x14ac:dyDescent="0.2">
      <c r="A211" s="1007" t="s">
        <v>615</v>
      </c>
      <c r="B211" s="940" t="s">
        <v>611</v>
      </c>
      <c r="C211" s="931">
        <v>7</v>
      </c>
      <c r="D211" s="934">
        <f>+IFERROR(VLOOKUP(B211,'Detalle Plan de Adquisiciones'!$G$53:$L$153,6,FALSE),0)</f>
        <v>248220000</v>
      </c>
      <c r="E211" s="866" t="str">
        <f>+'Detalle Plan de Adquisiciones'!F111</f>
        <v>INTERVENTORÍA TÉCNICA, ADMINISTRATIVA, FINANCIERA Y AMBIENTAL AL CONTRATO CUYO OBJETO ES:CONSTRUCCIÓN DEL PAVIMENTO RÍGIDO, ANDENES Y ESPACIO PUBLICO DE LA CARRERA 2 ENTRE LA CALLE 31 Y CALLE 37, ID (204). PERTENECIENTE AL SISTEMA ESTRATÉGICO DE TRANSPORTE PUBLICO "SETP" DE LA CIUDAD DE MONTERÍA.</v>
      </c>
      <c r="F211" s="312" t="s">
        <v>410</v>
      </c>
      <c r="G211" s="354"/>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4"/>
      <c r="AO211" s="354"/>
      <c r="AP211" s="354"/>
      <c r="AQ211" s="354"/>
      <c r="AR211" s="354"/>
      <c r="AS211" s="354"/>
      <c r="AT211" s="354"/>
      <c r="AU211" s="354"/>
      <c r="AV211" s="354"/>
      <c r="AW211" s="354"/>
      <c r="AX211" s="354"/>
      <c r="AY211" s="354"/>
      <c r="AZ211" s="354"/>
      <c r="BA211" s="354"/>
      <c r="BB211" s="354"/>
      <c r="BC211" s="354"/>
      <c r="BD211" s="354"/>
      <c r="BE211" s="354"/>
      <c r="BF211" s="354"/>
      <c r="BG211" s="354"/>
      <c r="BH211" s="354"/>
      <c r="BI211" s="354"/>
      <c r="BJ211" s="354"/>
      <c r="BK211" s="354"/>
      <c r="BL211" s="354"/>
      <c r="BM211" s="354"/>
      <c r="BN211" s="354"/>
      <c r="BO211" s="354"/>
      <c r="BP211" s="354"/>
      <c r="BQ211" s="354"/>
      <c r="BR211" s="354"/>
      <c r="BS211" s="354"/>
      <c r="BT211" s="354"/>
      <c r="BU211" s="354"/>
      <c r="BV211" s="354"/>
      <c r="BW211" s="354"/>
      <c r="BX211" s="354"/>
      <c r="BY211" s="354"/>
      <c r="BZ211" s="354"/>
      <c r="CA211" s="560"/>
      <c r="CB211" s="560"/>
      <c r="CC211" s="560"/>
      <c r="CD211" s="560"/>
      <c r="CE211" s="560"/>
      <c r="CF211" s="560"/>
      <c r="CG211" s="560"/>
      <c r="CH211" s="560"/>
      <c r="CI211" s="560"/>
      <c r="CJ211" s="560"/>
      <c r="CK211" s="560"/>
      <c r="CL211" s="560"/>
      <c r="CM211" s="354"/>
      <c r="CN211" s="354"/>
      <c r="CO211" s="354"/>
      <c r="CP211" s="354"/>
      <c r="CQ211" s="354"/>
      <c r="CR211" s="354"/>
      <c r="CS211" s="354"/>
      <c r="CT211" s="354"/>
      <c r="CU211" s="354"/>
      <c r="CV211" s="354"/>
      <c r="CW211" s="354"/>
      <c r="CX211" s="354"/>
      <c r="CY211" s="354"/>
      <c r="CZ211" s="354"/>
      <c r="DA211" s="354"/>
      <c r="DB211" s="354"/>
      <c r="DC211" s="354"/>
      <c r="DD211" s="354"/>
      <c r="DE211" s="354"/>
      <c r="DF211" s="354"/>
      <c r="DG211" s="354"/>
      <c r="DH211" s="354"/>
      <c r="DI211" s="354"/>
      <c r="DJ211" s="354"/>
      <c r="DK211" s="354"/>
      <c r="DL211" s="354"/>
      <c r="DM211" s="354">
        <f>+$D$211*0.8/7/1000000</f>
        <v>28.367999999999999</v>
      </c>
      <c r="DN211" s="354">
        <f t="shared" ref="DN211:DS211" si="33">+$D$211*0.8/7/1000000</f>
        <v>28.367999999999999</v>
      </c>
      <c r="DO211" s="354">
        <f t="shared" si="33"/>
        <v>28.367999999999999</v>
      </c>
      <c r="DP211" s="354">
        <f t="shared" si="33"/>
        <v>28.367999999999999</v>
      </c>
      <c r="DQ211" s="354">
        <f t="shared" si="33"/>
        <v>28.367999999999999</v>
      </c>
      <c r="DR211" s="354">
        <f t="shared" si="33"/>
        <v>28.367999999999999</v>
      </c>
      <c r="DS211" s="354">
        <f t="shared" si="33"/>
        <v>28.367999999999999</v>
      </c>
      <c r="DT211" s="354">
        <f>+$D$211*0.2/1000000</f>
        <v>49.643999999999998</v>
      </c>
      <c r="DU211" s="354">
        <v>0</v>
      </c>
      <c r="DW211" s="543">
        <f>SUM(G211:DU211)</f>
        <v>248.22</v>
      </c>
      <c r="DX211" s="858">
        <f>DW211+DW212+DW213</f>
        <v>248.22</v>
      </c>
      <c r="DY211" s="704">
        <f>+DX211*1000000</f>
        <v>248220000</v>
      </c>
      <c r="DZ211" s="870">
        <f>+DY211-D211</f>
        <v>0</v>
      </c>
      <c r="EA211" s="637"/>
      <c r="EB211" s="634"/>
      <c r="EC211" s="634"/>
      <c r="ED211" s="634"/>
      <c r="EE211" s="634"/>
      <c r="EF211" s="635"/>
      <c r="EG211" s="641"/>
      <c r="EI211" s="636"/>
      <c r="EJ211" s="642"/>
      <c r="ER211" s="497"/>
    </row>
    <row r="212" spans="1:148" s="278" customFormat="1" ht="29.25" customHeight="1" outlineLevel="2" x14ac:dyDescent="0.2">
      <c r="A212" s="1008"/>
      <c r="B212" s="941"/>
      <c r="C212" s="932"/>
      <c r="D212" s="935"/>
      <c r="E212" s="867"/>
      <c r="F212" s="311" t="s">
        <v>210</v>
      </c>
      <c r="G212" s="363"/>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3"/>
      <c r="AT212" s="363"/>
      <c r="AU212" s="363"/>
      <c r="AV212" s="363"/>
      <c r="AW212" s="363"/>
      <c r="AX212" s="363"/>
      <c r="AY212" s="363"/>
      <c r="AZ212" s="363"/>
      <c r="BA212" s="363"/>
      <c r="BB212" s="363"/>
      <c r="BC212" s="363"/>
      <c r="BD212" s="363"/>
      <c r="BE212" s="363"/>
      <c r="BF212" s="363"/>
      <c r="BG212" s="363"/>
      <c r="BH212" s="363"/>
      <c r="BI212" s="363"/>
      <c r="BJ212" s="363"/>
      <c r="BK212" s="363"/>
      <c r="BL212" s="363"/>
      <c r="BM212" s="363"/>
      <c r="BN212" s="363"/>
      <c r="BO212" s="363"/>
      <c r="BP212" s="363"/>
      <c r="BQ212" s="363"/>
      <c r="BR212" s="363"/>
      <c r="BS212" s="363"/>
      <c r="BT212" s="363"/>
      <c r="BU212" s="363"/>
      <c r="BV212" s="363"/>
      <c r="BW212" s="363"/>
      <c r="BX212" s="363"/>
      <c r="BY212" s="363"/>
      <c r="BZ212" s="363"/>
      <c r="CA212" s="363"/>
      <c r="CB212" s="363"/>
      <c r="CC212" s="363"/>
      <c r="CD212" s="363"/>
      <c r="CE212" s="363"/>
      <c r="CF212" s="363"/>
      <c r="CG212" s="363"/>
      <c r="CH212" s="363"/>
      <c r="CI212" s="363"/>
      <c r="CJ212" s="363"/>
      <c r="CK212" s="363"/>
      <c r="CL212" s="363"/>
      <c r="CM212" s="363"/>
      <c r="CN212" s="363"/>
      <c r="CO212" s="363"/>
      <c r="CP212" s="363"/>
      <c r="CQ212" s="363"/>
      <c r="CR212" s="363"/>
      <c r="CS212" s="363"/>
      <c r="CT212" s="363"/>
      <c r="CU212" s="363"/>
      <c r="CV212" s="363"/>
      <c r="CW212" s="363"/>
      <c r="CX212" s="363"/>
      <c r="CY212" s="363"/>
      <c r="CZ212" s="363"/>
      <c r="DA212" s="363"/>
      <c r="DB212" s="363"/>
      <c r="DC212" s="363"/>
      <c r="DD212" s="363"/>
      <c r="DE212" s="363"/>
      <c r="DF212" s="363"/>
      <c r="DG212" s="363"/>
      <c r="DH212" s="363"/>
      <c r="DI212" s="363"/>
      <c r="DJ212" s="363"/>
      <c r="DK212" s="363"/>
      <c r="DL212" s="363"/>
      <c r="DM212" s="363"/>
      <c r="DN212" s="363"/>
      <c r="DO212" s="363"/>
      <c r="DP212" s="363"/>
      <c r="DQ212" s="363"/>
      <c r="DR212" s="363"/>
      <c r="DS212" s="363"/>
      <c r="DT212" s="363"/>
      <c r="DU212" s="363"/>
      <c r="DV212" s="363"/>
      <c r="DW212" s="544">
        <f t="shared" si="32"/>
        <v>0</v>
      </c>
      <c r="DX212" s="858"/>
      <c r="DY212" s="705"/>
      <c r="DZ212" s="871"/>
      <c r="EA212" s="637"/>
      <c r="EB212" s="634"/>
      <c r="EC212" s="634"/>
      <c r="ED212" s="634"/>
      <c r="EE212" s="634"/>
      <c r="EF212" s="635"/>
      <c r="EG212" s="641"/>
      <c r="EI212" s="636"/>
      <c r="EJ212" s="642"/>
      <c r="ER212" s="497"/>
    </row>
    <row r="213" spans="1:148" s="278" customFormat="1" ht="29.25" customHeight="1" outlineLevel="2" thickBot="1" x14ac:dyDescent="0.25">
      <c r="A213" s="1009"/>
      <c r="B213" s="942"/>
      <c r="C213" s="933"/>
      <c r="D213" s="936"/>
      <c r="E213" s="875"/>
      <c r="F213" s="313" t="s">
        <v>211</v>
      </c>
      <c r="G213" s="387"/>
      <c r="H213" s="387"/>
      <c r="I213" s="387"/>
      <c r="J213" s="387"/>
      <c r="K213" s="387"/>
      <c r="L213" s="387"/>
      <c r="M213" s="387"/>
      <c r="N213" s="387"/>
      <c r="O213" s="387"/>
      <c r="P213" s="387"/>
      <c r="Q213" s="387"/>
      <c r="R213" s="387"/>
      <c r="S213" s="387"/>
      <c r="T213" s="387"/>
      <c r="U213" s="387"/>
      <c r="V213" s="387"/>
      <c r="W213" s="387"/>
      <c r="X213" s="387"/>
      <c r="Y213" s="387"/>
      <c r="Z213" s="387"/>
      <c r="AA213" s="387"/>
      <c r="AB213" s="387"/>
      <c r="AC213" s="387"/>
      <c r="AD213" s="387"/>
      <c r="AE213" s="387"/>
      <c r="AF213" s="387"/>
      <c r="AG213" s="387"/>
      <c r="AH213" s="387"/>
      <c r="AI213" s="387"/>
      <c r="AJ213" s="387"/>
      <c r="AK213" s="387"/>
      <c r="AL213" s="387"/>
      <c r="AM213" s="387"/>
      <c r="AN213" s="387"/>
      <c r="AO213" s="387"/>
      <c r="AP213" s="387"/>
      <c r="AQ213" s="387"/>
      <c r="AR213" s="387"/>
      <c r="AS213" s="387"/>
      <c r="AT213" s="387"/>
      <c r="AU213" s="387"/>
      <c r="AV213" s="387"/>
      <c r="AW213" s="387"/>
      <c r="AX213" s="387"/>
      <c r="AY213" s="387"/>
      <c r="AZ213" s="387"/>
      <c r="BA213" s="387"/>
      <c r="BB213" s="387"/>
      <c r="BC213" s="387"/>
      <c r="BD213" s="387"/>
      <c r="BE213" s="387"/>
      <c r="BF213" s="387"/>
      <c r="BG213" s="387"/>
      <c r="BH213" s="387"/>
      <c r="BI213" s="387"/>
      <c r="BJ213" s="387"/>
      <c r="BK213" s="387"/>
      <c r="BL213" s="387"/>
      <c r="BM213" s="387"/>
      <c r="BN213" s="387"/>
      <c r="BO213" s="387"/>
      <c r="BP213" s="387"/>
      <c r="BQ213" s="387"/>
      <c r="BR213" s="387"/>
      <c r="BS213" s="387"/>
      <c r="BT213" s="387"/>
      <c r="BU213" s="387"/>
      <c r="BV213" s="387"/>
      <c r="BW213" s="387"/>
      <c r="BX213" s="387"/>
      <c r="BY213" s="387"/>
      <c r="BZ213" s="387"/>
      <c r="CA213" s="387"/>
      <c r="CB213" s="387"/>
      <c r="CC213" s="387"/>
      <c r="CD213" s="387"/>
      <c r="CE213" s="387"/>
      <c r="CF213" s="387"/>
      <c r="CG213" s="387"/>
      <c r="CH213" s="387"/>
      <c r="CI213" s="387"/>
      <c r="CJ213" s="387"/>
      <c r="CK213" s="387"/>
      <c r="CL213" s="387"/>
      <c r="CM213" s="387"/>
      <c r="CN213" s="387"/>
      <c r="CO213" s="387"/>
      <c r="CP213" s="387"/>
      <c r="CQ213" s="387"/>
      <c r="CR213" s="387"/>
      <c r="CS213" s="387"/>
      <c r="CT213" s="387"/>
      <c r="CU213" s="387"/>
      <c r="CV213" s="387"/>
      <c r="CW213" s="387"/>
      <c r="CX213" s="387"/>
      <c r="CY213" s="387"/>
      <c r="CZ213" s="387"/>
      <c r="DA213" s="387"/>
      <c r="DB213" s="387"/>
      <c r="DC213" s="387"/>
      <c r="DD213" s="387"/>
      <c r="DE213" s="387"/>
      <c r="DF213" s="387"/>
      <c r="DG213" s="387"/>
      <c r="DH213" s="387"/>
      <c r="DI213" s="387"/>
      <c r="DJ213" s="387"/>
      <c r="DK213" s="387"/>
      <c r="DL213" s="387"/>
      <c r="DM213" s="387"/>
      <c r="DN213" s="387"/>
      <c r="DO213" s="387"/>
      <c r="DP213" s="387"/>
      <c r="DQ213" s="387"/>
      <c r="DR213" s="387"/>
      <c r="DS213" s="387"/>
      <c r="DT213" s="387"/>
      <c r="DU213" s="387"/>
      <c r="DV213" s="387"/>
      <c r="DW213" s="545">
        <f t="shared" si="32"/>
        <v>0</v>
      </c>
      <c r="DX213" s="858"/>
      <c r="DY213" s="706"/>
      <c r="DZ213" s="872"/>
      <c r="EA213" s="637"/>
      <c r="EB213" s="634"/>
      <c r="EC213" s="634"/>
      <c r="ED213" s="634"/>
      <c r="EE213" s="634"/>
      <c r="EF213" s="635"/>
      <c r="EG213" s="641"/>
      <c r="EI213" s="636"/>
      <c r="EJ213" s="642"/>
      <c r="ER213" s="497"/>
    </row>
    <row r="214" spans="1:148" s="278" customFormat="1" ht="24" outlineLevel="2" x14ac:dyDescent="0.2">
      <c r="A214" s="1035" t="s">
        <v>572</v>
      </c>
      <c r="B214" s="949" t="s">
        <v>166</v>
      </c>
      <c r="C214" s="902">
        <v>14</v>
      </c>
      <c r="D214" s="1088">
        <f>'Detalle Plan de Adquisiciones'!M28</f>
        <v>0</v>
      </c>
      <c r="E214" s="866" t="str">
        <f>+'[12]Detalle Plan de Adquisiciones'!F27</f>
        <v>CONTRUCCION DEL PUENTE VEHICULAR UBICADO EN LA AVENIDA CIRCUNVALAR CON CALLE 41</v>
      </c>
      <c r="F214" s="312" t="s">
        <v>410</v>
      </c>
      <c r="G214" s="354">
        <v>0</v>
      </c>
      <c r="H214" s="354">
        <v>0</v>
      </c>
      <c r="I214" s="354">
        <v>0</v>
      </c>
      <c r="J214" s="354">
        <v>0</v>
      </c>
      <c r="K214" s="354">
        <v>0</v>
      </c>
      <c r="L214" s="354">
        <v>0</v>
      </c>
      <c r="M214" s="354">
        <v>0</v>
      </c>
      <c r="N214" s="354">
        <v>0</v>
      </c>
      <c r="O214" s="354">
        <v>0</v>
      </c>
      <c r="P214" s="354">
        <v>0</v>
      </c>
      <c r="Q214" s="354">
        <v>0</v>
      </c>
      <c r="R214" s="354">
        <v>0</v>
      </c>
      <c r="S214" s="354">
        <v>0</v>
      </c>
      <c r="T214" s="354">
        <v>0</v>
      </c>
      <c r="U214" s="354">
        <v>0</v>
      </c>
      <c r="V214" s="354">
        <v>0</v>
      </c>
      <c r="W214" s="354">
        <v>0</v>
      </c>
      <c r="X214" s="354">
        <v>0</v>
      </c>
      <c r="Y214" s="354">
        <v>0</v>
      </c>
      <c r="Z214" s="354">
        <v>0</v>
      </c>
      <c r="AA214" s="354">
        <v>0</v>
      </c>
      <c r="AB214" s="354">
        <v>0</v>
      </c>
      <c r="AC214" s="354">
        <v>0</v>
      </c>
      <c r="AD214" s="354">
        <v>0</v>
      </c>
      <c r="AE214" s="354">
        <v>0</v>
      </c>
      <c r="AF214" s="354">
        <v>0</v>
      </c>
      <c r="AG214" s="354">
        <v>0</v>
      </c>
      <c r="AH214" s="354">
        <v>0</v>
      </c>
      <c r="AI214" s="354">
        <v>0</v>
      </c>
      <c r="AJ214" s="354">
        <v>0</v>
      </c>
      <c r="AK214" s="354">
        <v>0</v>
      </c>
      <c r="AL214" s="354">
        <v>0</v>
      </c>
      <c r="AM214" s="354">
        <v>0</v>
      </c>
      <c r="AN214" s="354">
        <v>0</v>
      </c>
      <c r="AO214" s="354">
        <v>0</v>
      </c>
      <c r="AP214" s="354">
        <v>0</v>
      </c>
      <c r="AQ214" s="354">
        <v>0</v>
      </c>
      <c r="AR214" s="354">
        <v>0</v>
      </c>
      <c r="AS214" s="354">
        <v>0</v>
      </c>
      <c r="AT214" s="354">
        <v>0</v>
      </c>
      <c r="AU214" s="354">
        <v>0</v>
      </c>
      <c r="AV214" s="354">
        <v>0</v>
      </c>
      <c r="AW214" s="354">
        <v>0</v>
      </c>
      <c r="AX214" s="354">
        <v>0</v>
      </c>
      <c r="AY214" s="354">
        <v>0</v>
      </c>
      <c r="AZ214" s="354">
        <v>0</v>
      </c>
      <c r="BA214" s="354">
        <v>0</v>
      </c>
      <c r="BB214" s="354">
        <v>0</v>
      </c>
      <c r="BC214" s="354">
        <v>0</v>
      </c>
      <c r="BD214" s="354">
        <v>0</v>
      </c>
      <c r="BE214" s="354">
        <v>0</v>
      </c>
      <c r="BF214" s="354">
        <v>0</v>
      </c>
      <c r="BG214" s="354">
        <v>0</v>
      </c>
      <c r="BH214" s="354">
        <v>0</v>
      </c>
      <c r="BI214" s="354">
        <v>0</v>
      </c>
      <c r="BJ214" s="354">
        <v>0</v>
      </c>
      <c r="BK214" s="354">
        <v>0</v>
      </c>
      <c r="BL214" s="354">
        <v>0</v>
      </c>
      <c r="BM214" s="354">
        <v>0</v>
      </c>
      <c r="BN214" s="354">
        <v>0</v>
      </c>
      <c r="BO214" s="354">
        <v>0</v>
      </c>
      <c r="BP214" s="354">
        <v>0</v>
      </c>
      <c r="BQ214" s="354">
        <v>0</v>
      </c>
      <c r="BR214" s="354">
        <v>0</v>
      </c>
      <c r="BS214" s="354">
        <v>0</v>
      </c>
      <c r="BT214" s="354">
        <v>0</v>
      </c>
      <c r="BU214" s="354">
        <v>0</v>
      </c>
      <c r="BV214" s="354">
        <v>0</v>
      </c>
      <c r="BW214" s="354">
        <v>0</v>
      </c>
      <c r="BX214" s="354">
        <v>0</v>
      </c>
      <c r="BY214" s="354">
        <v>0</v>
      </c>
      <c r="BZ214" s="354">
        <v>0</v>
      </c>
      <c r="CA214" s="354">
        <v>0</v>
      </c>
      <c r="CB214" s="354">
        <v>0</v>
      </c>
      <c r="CC214" s="354">
        <v>0</v>
      </c>
      <c r="CD214" s="354">
        <v>0</v>
      </c>
      <c r="CE214" s="354">
        <v>0</v>
      </c>
      <c r="CF214" s="354">
        <v>0</v>
      </c>
      <c r="CG214" s="354">
        <v>0</v>
      </c>
      <c r="CH214" s="354">
        <v>0</v>
      </c>
      <c r="CI214" s="354">
        <v>0</v>
      </c>
      <c r="CJ214" s="354">
        <v>0</v>
      </c>
      <c r="CK214" s="354">
        <v>0</v>
      </c>
      <c r="CL214" s="354">
        <v>0</v>
      </c>
      <c r="CM214" s="354">
        <v>0</v>
      </c>
      <c r="CN214" s="354">
        <v>0</v>
      </c>
      <c r="CO214" s="354">
        <v>0</v>
      </c>
      <c r="CP214" s="354">
        <v>0</v>
      </c>
      <c r="CQ214" s="354">
        <v>0</v>
      </c>
      <c r="CR214" s="354">
        <v>0</v>
      </c>
      <c r="CS214" s="354">
        <v>0</v>
      </c>
      <c r="CT214" s="354">
        <v>0</v>
      </c>
      <c r="CU214" s="354">
        <v>0</v>
      </c>
      <c r="CV214" s="354">
        <v>0</v>
      </c>
      <c r="CW214" s="354">
        <v>0</v>
      </c>
      <c r="CX214" s="354">
        <v>0</v>
      </c>
      <c r="CY214" s="354"/>
      <c r="CZ214" s="354"/>
      <c r="DA214" s="354"/>
      <c r="DB214" s="354"/>
      <c r="DC214" s="354"/>
      <c r="DD214" s="354"/>
      <c r="DE214" s="354"/>
      <c r="DF214" s="354"/>
      <c r="DG214" s="354"/>
      <c r="DH214" s="354"/>
      <c r="DI214" s="354">
        <v>0</v>
      </c>
      <c r="DJ214" s="354">
        <v>0</v>
      </c>
      <c r="DK214" s="354">
        <v>0</v>
      </c>
      <c r="DL214" s="354"/>
      <c r="DM214" s="354"/>
      <c r="DN214" s="354"/>
      <c r="DO214" s="354"/>
      <c r="DP214" s="354"/>
      <c r="DQ214" s="354"/>
      <c r="DR214" s="354"/>
      <c r="DS214" s="354"/>
      <c r="DT214" s="354"/>
      <c r="DU214" s="354"/>
      <c r="DV214" s="354"/>
      <c r="DW214" s="543">
        <f t="shared" si="32"/>
        <v>0</v>
      </c>
      <c r="DX214" s="869">
        <f>DW214+DW215+DW216</f>
        <v>0</v>
      </c>
      <c r="DY214" s="704">
        <f>+DX214*1000000</f>
        <v>0</v>
      </c>
      <c r="DZ214" s="870">
        <f>+DY214-D214</f>
        <v>0</v>
      </c>
      <c r="EA214" s="874">
        <f>VLOOKUP([12]POA!$B133,'[12]Detalle Plan de Adquisiciones'!$G$6:$AF$65,23,0)</f>
        <v>43107</v>
      </c>
      <c r="EB214" s="860">
        <f>VLOOKUP([12]POA!$B133,'[12]Detalle Plan de Adquisiciones'!$G$6:$AF$65,25,0)</f>
        <v>43592</v>
      </c>
      <c r="EC214" s="860">
        <f>EB214+30</f>
        <v>43622</v>
      </c>
      <c r="ED214" s="860" t="str">
        <f>CONCATENATE(MONTH(EA214),"-",YEAR(EA214))</f>
        <v>1-2018</v>
      </c>
      <c r="EE214" s="860" t="str">
        <f>CONCATENATE(MONTH(EB214),"-",YEAR(EB214))</f>
        <v>5-2019</v>
      </c>
      <c r="EF214" s="862" t="str">
        <f>CONCATENATE(MONTH(EC214),"-",YEAR(EC214))</f>
        <v>6-2019</v>
      </c>
      <c r="EG214" s="1105">
        <f>+YEAR(EA214)</f>
        <v>2018</v>
      </c>
      <c r="EH214" s="393">
        <f>+DY214</f>
        <v>0</v>
      </c>
      <c r="EI214" s="858">
        <f>+DW214+DW215+DW216</f>
        <v>0</v>
      </c>
      <c r="EJ214" s="877">
        <f>+D214/1000000-EI214</f>
        <v>0</v>
      </c>
      <c r="ER214" s="625"/>
    </row>
    <row r="215" spans="1:148" s="278" customFormat="1" outlineLevel="2" x14ac:dyDescent="0.2">
      <c r="A215" s="1036"/>
      <c r="B215" s="950"/>
      <c r="C215" s="903"/>
      <c r="D215" s="1089"/>
      <c r="E215" s="867"/>
      <c r="F215" s="311" t="s">
        <v>210</v>
      </c>
      <c r="G215" s="363">
        <v>0</v>
      </c>
      <c r="H215" s="363">
        <v>0</v>
      </c>
      <c r="I215" s="363">
        <v>0</v>
      </c>
      <c r="J215" s="363">
        <v>0</v>
      </c>
      <c r="K215" s="363">
        <v>0</v>
      </c>
      <c r="L215" s="363">
        <v>0</v>
      </c>
      <c r="M215" s="363">
        <v>0</v>
      </c>
      <c r="N215" s="363">
        <v>0</v>
      </c>
      <c r="O215" s="363">
        <v>0</v>
      </c>
      <c r="P215" s="363">
        <v>0</v>
      </c>
      <c r="Q215" s="363">
        <v>0</v>
      </c>
      <c r="R215" s="363">
        <v>0</v>
      </c>
      <c r="S215" s="363">
        <v>0</v>
      </c>
      <c r="T215" s="363">
        <v>0</v>
      </c>
      <c r="U215" s="363">
        <v>0</v>
      </c>
      <c r="V215" s="363">
        <v>0</v>
      </c>
      <c r="W215" s="363">
        <v>0</v>
      </c>
      <c r="X215" s="363">
        <v>0</v>
      </c>
      <c r="Y215" s="363">
        <v>0</v>
      </c>
      <c r="Z215" s="363">
        <v>0</v>
      </c>
      <c r="AA215" s="363">
        <v>0</v>
      </c>
      <c r="AB215" s="363">
        <v>0</v>
      </c>
      <c r="AC215" s="363">
        <v>0</v>
      </c>
      <c r="AD215" s="363">
        <v>0</v>
      </c>
      <c r="AE215" s="363">
        <v>0</v>
      </c>
      <c r="AF215" s="363">
        <v>0</v>
      </c>
      <c r="AG215" s="363">
        <v>0</v>
      </c>
      <c r="AH215" s="363">
        <v>0</v>
      </c>
      <c r="AI215" s="363">
        <v>0</v>
      </c>
      <c r="AJ215" s="363">
        <v>0</v>
      </c>
      <c r="AK215" s="363">
        <v>0</v>
      </c>
      <c r="AL215" s="363">
        <v>0</v>
      </c>
      <c r="AM215" s="363">
        <v>0</v>
      </c>
      <c r="AN215" s="363">
        <v>0</v>
      </c>
      <c r="AO215" s="363">
        <v>0</v>
      </c>
      <c r="AP215" s="363">
        <v>0</v>
      </c>
      <c r="AQ215" s="363">
        <v>0</v>
      </c>
      <c r="AR215" s="363">
        <v>0</v>
      </c>
      <c r="AS215" s="363">
        <v>0</v>
      </c>
      <c r="AT215" s="363">
        <v>0</v>
      </c>
      <c r="AU215" s="363">
        <v>0</v>
      </c>
      <c r="AV215" s="363">
        <v>0</v>
      </c>
      <c r="AW215" s="363">
        <v>0</v>
      </c>
      <c r="AX215" s="363">
        <v>0</v>
      </c>
      <c r="AY215" s="363">
        <v>0</v>
      </c>
      <c r="AZ215" s="363">
        <v>0</v>
      </c>
      <c r="BA215" s="363">
        <v>0</v>
      </c>
      <c r="BB215" s="363">
        <v>0</v>
      </c>
      <c r="BC215" s="363">
        <v>0</v>
      </c>
      <c r="BD215" s="363">
        <v>0</v>
      </c>
      <c r="BE215" s="363">
        <v>0</v>
      </c>
      <c r="BF215" s="363">
        <v>0</v>
      </c>
      <c r="BG215" s="363">
        <v>0</v>
      </c>
      <c r="BH215" s="363">
        <v>0</v>
      </c>
      <c r="BI215" s="363">
        <v>0</v>
      </c>
      <c r="BJ215" s="363">
        <v>0</v>
      </c>
      <c r="BK215" s="363">
        <v>0</v>
      </c>
      <c r="BL215" s="363">
        <v>0</v>
      </c>
      <c r="BM215" s="363">
        <v>0</v>
      </c>
      <c r="BN215" s="363">
        <v>0</v>
      </c>
      <c r="BO215" s="363">
        <v>0</v>
      </c>
      <c r="BP215" s="363">
        <v>0</v>
      </c>
      <c r="BQ215" s="363">
        <v>0</v>
      </c>
      <c r="BR215" s="363">
        <v>0</v>
      </c>
      <c r="BS215" s="363">
        <v>0</v>
      </c>
      <c r="BT215" s="363">
        <v>0</v>
      </c>
      <c r="BU215" s="363">
        <v>0</v>
      </c>
      <c r="BV215" s="363">
        <v>0</v>
      </c>
      <c r="BW215" s="363">
        <v>0</v>
      </c>
      <c r="BX215" s="363">
        <v>0</v>
      </c>
      <c r="BY215" s="363">
        <v>0</v>
      </c>
      <c r="BZ215" s="363">
        <v>0</v>
      </c>
      <c r="CA215" s="363">
        <v>0</v>
      </c>
      <c r="CB215" s="363">
        <v>0</v>
      </c>
      <c r="CC215" s="363">
        <v>0</v>
      </c>
      <c r="CD215" s="363">
        <v>0</v>
      </c>
      <c r="CE215" s="363">
        <v>0</v>
      </c>
      <c r="CF215" s="363">
        <v>0</v>
      </c>
      <c r="CG215" s="363">
        <v>0</v>
      </c>
      <c r="CH215" s="363">
        <v>0</v>
      </c>
      <c r="CI215" s="363">
        <v>0</v>
      </c>
      <c r="CJ215" s="363">
        <v>0</v>
      </c>
      <c r="CK215" s="363">
        <v>0</v>
      </c>
      <c r="CL215" s="363">
        <v>0</v>
      </c>
      <c r="CM215" s="363">
        <v>0</v>
      </c>
      <c r="CN215" s="363">
        <v>0</v>
      </c>
      <c r="CO215" s="363">
        <v>0</v>
      </c>
      <c r="CP215" s="363">
        <v>0</v>
      </c>
      <c r="CQ215" s="363">
        <v>0</v>
      </c>
      <c r="CR215" s="363">
        <v>0</v>
      </c>
      <c r="CS215" s="363">
        <v>0</v>
      </c>
      <c r="CT215" s="363">
        <v>0</v>
      </c>
      <c r="CU215" s="363">
        <v>0</v>
      </c>
      <c r="CV215" s="363">
        <v>0</v>
      </c>
      <c r="CW215" s="363">
        <v>0</v>
      </c>
      <c r="CX215" s="363">
        <v>0</v>
      </c>
      <c r="CY215" s="363">
        <v>0</v>
      </c>
      <c r="CZ215" s="363">
        <v>0</v>
      </c>
      <c r="DA215" s="363">
        <v>0</v>
      </c>
      <c r="DB215" s="363">
        <v>0</v>
      </c>
      <c r="DC215" s="363">
        <v>0</v>
      </c>
      <c r="DD215" s="363">
        <v>0</v>
      </c>
      <c r="DE215" s="363">
        <v>0</v>
      </c>
      <c r="DF215" s="363">
        <v>0</v>
      </c>
      <c r="DG215" s="363">
        <v>0</v>
      </c>
      <c r="DH215" s="363">
        <v>0</v>
      </c>
      <c r="DI215" s="363">
        <v>0</v>
      </c>
      <c r="DJ215" s="363">
        <v>0</v>
      </c>
      <c r="DK215" s="363">
        <v>0</v>
      </c>
      <c r="DL215" s="363">
        <v>0</v>
      </c>
      <c r="DM215" s="363">
        <v>0</v>
      </c>
      <c r="DN215" s="363">
        <v>0</v>
      </c>
      <c r="DO215" s="363">
        <v>0</v>
      </c>
      <c r="DP215" s="363">
        <v>0</v>
      </c>
      <c r="DQ215" s="363">
        <v>0</v>
      </c>
      <c r="DR215" s="363">
        <v>0</v>
      </c>
      <c r="DS215" s="363">
        <v>0</v>
      </c>
      <c r="DT215" s="363">
        <v>0</v>
      </c>
      <c r="DU215" s="363">
        <v>0</v>
      </c>
      <c r="DV215" s="363">
        <v>0</v>
      </c>
      <c r="DW215" s="544">
        <f t="shared" si="32"/>
        <v>0</v>
      </c>
      <c r="DX215" s="890"/>
      <c r="DY215" s="705"/>
      <c r="DZ215" s="871"/>
      <c r="EA215" s="895"/>
      <c r="EB215" s="878"/>
      <c r="EC215" s="878"/>
      <c r="ED215" s="878"/>
      <c r="EE215" s="878"/>
      <c r="EF215" s="880"/>
      <c r="EG215" s="1106"/>
      <c r="EI215" s="858"/>
      <c r="EJ215" s="877"/>
      <c r="ER215" s="625"/>
    </row>
    <row r="216" spans="1:148" s="278" customFormat="1" ht="12.75" outlineLevel="2" thickBot="1" x14ac:dyDescent="0.25">
      <c r="A216" s="1037"/>
      <c r="B216" s="951"/>
      <c r="C216" s="904"/>
      <c r="D216" s="1090"/>
      <c r="E216" s="868"/>
      <c r="F216" s="315" t="s">
        <v>211</v>
      </c>
      <c r="G216" s="364">
        <v>0</v>
      </c>
      <c r="H216" s="364">
        <v>0</v>
      </c>
      <c r="I216" s="364">
        <v>0</v>
      </c>
      <c r="J216" s="364">
        <v>0</v>
      </c>
      <c r="K216" s="364">
        <v>0</v>
      </c>
      <c r="L216" s="364">
        <v>0</v>
      </c>
      <c r="M216" s="364">
        <v>0</v>
      </c>
      <c r="N216" s="364">
        <v>0</v>
      </c>
      <c r="O216" s="364">
        <v>0</v>
      </c>
      <c r="P216" s="364">
        <v>0</v>
      </c>
      <c r="Q216" s="364">
        <v>0</v>
      </c>
      <c r="R216" s="364">
        <v>0</v>
      </c>
      <c r="S216" s="364">
        <v>0</v>
      </c>
      <c r="T216" s="364">
        <v>0</v>
      </c>
      <c r="U216" s="364">
        <v>0</v>
      </c>
      <c r="V216" s="364">
        <v>0</v>
      </c>
      <c r="W216" s="364">
        <v>0</v>
      </c>
      <c r="X216" s="364">
        <v>0</v>
      </c>
      <c r="Y216" s="364">
        <v>0</v>
      </c>
      <c r="Z216" s="364">
        <v>0</v>
      </c>
      <c r="AA216" s="364">
        <v>0</v>
      </c>
      <c r="AB216" s="364">
        <v>0</v>
      </c>
      <c r="AC216" s="364">
        <v>0</v>
      </c>
      <c r="AD216" s="364">
        <v>0</v>
      </c>
      <c r="AE216" s="364">
        <v>0</v>
      </c>
      <c r="AF216" s="364">
        <v>0</v>
      </c>
      <c r="AG216" s="364">
        <v>0</v>
      </c>
      <c r="AH216" s="364">
        <v>0</v>
      </c>
      <c r="AI216" s="364">
        <v>0</v>
      </c>
      <c r="AJ216" s="364">
        <v>0</v>
      </c>
      <c r="AK216" s="364">
        <v>0</v>
      </c>
      <c r="AL216" s="364">
        <v>0</v>
      </c>
      <c r="AM216" s="364">
        <v>0</v>
      </c>
      <c r="AN216" s="364">
        <v>0</v>
      </c>
      <c r="AO216" s="364">
        <v>0</v>
      </c>
      <c r="AP216" s="364">
        <v>0</v>
      </c>
      <c r="AQ216" s="364">
        <v>0</v>
      </c>
      <c r="AR216" s="364">
        <v>0</v>
      </c>
      <c r="AS216" s="364">
        <v>0</v>
      </c>
      <c r="AT216" s="364">
        <v>0</v>
      </c>
      <c r="AU216" s="364">
        <v>0</v>
      </c>
      <c r="AV216" s="364">
        <v>0</v>
      </c>
      <c r="AW216" s="364">
        <v>0</v>
      </c>
      <c r="AX216" s="364">
        <v>0</v>
      </c>
      <c r="AY216" s="364">
        <v>0</v>
      </c>
      <c r="AZ216" s="364">
        <v>0</v>
      </c>
      <c r="BA216" s="364">
        <v>0</v>
      </c>
      <c r="BB216" s="364">
        <v>0</v>
      </c>
      <c r="BC216" s="364">
        <v>0</v>
      </c>
      <c r="BD216" s="364">
        <v>0</v>
      </c>
      <c r="BE216" s="364">
        <v>0</v>
      </c>
      <c r="BF216" s="364">
        <v>0</v>
      </c>
      <c r="BG216" s="364">
        <v>0</v>
      </c>
      <c r="BH216" s="364">
        <v>0</v>
      </c>
      <c r="BI216" s="364">
        <v>0</v>
      </c>
      <c r="BJ216" s="364">
        <v>0</v>
      </c>
      <c r="BK216" s="364">
        <v>0</v>
      </c>
      <c r="BL216" s="364">
        <v>0</v>
      </c>
      <c r="BM216" s="364">
        <v>0</v>
      </c>
      <c r="BN216" s="364">
        <v>0</v>
      </c>
      <c r="BO216" s="364">
        <v>0</v>
      </c>
      <c r="BP216" s="364">
        <v>0</v>
      </c>
      <c r="BQ216" s="364">
        <v>0</v>
      </c>
      <c r="BR216" s="364">
        <v>0</v>
      </c>
      <c r="BS216" s="364">
        <v>0</v>
      </c>
      <c r="BT216" s="364">
        <v>0</v>
      </c>
      <c r="BU216" s="364">
        <v>0</v>
      </c>
      <c r="BV216" s="364">
        <v>0</v>
      </c>
      <c r="BW216" s="364">
        <v>0</v>
      </c>
      <c r="BX216" s="364">
        <v>0</v>
      </c>
      <c r="BY216" s="364">
        <v>0</v>
      </c>
      <c r="BZ216" s="364">
        <v>0</v>
      </c>
      <c r="CA216" s="364">
        <v>0</v>
      </c>
      <c r="CB216" s="364">
        <v>0</v>
      </c>
      <c r="CC216" s="364">
        <v>0</v>
      </c>
      <c r="CD216" s="364">
        <v>0</v>
      </c>
      <c r="CE216" s="364">
        <v>0</v>
      </c>
      <c r="CF216" s="364">
        <v>0</v>
      </c>
      <c r="CG216" s="364">
        <v>0</v>
      </c>
      <c r="CH216" s="364">
        <v>0</v>
      </c>
      <c r="CI216" s="364">
        <v>0</v>
      </c>
      <c r="CJ216" s="364">
        <v>0</v>
      </c>
      <c r="CK216" s="364">
        <v>0</v>
      </c>
      <c r="CL216" s="364">
        <v>0</v>
      </c>
      <c r="CM216" s="364">
        <v>0</v>
      </c>
      <c r="CN216" s="364">
        <v>0</v>
      </c>
      <c r="CO216" s="364">
        <v>0</v>
      </c>
      <c r="CP216" s="364">
        <v>0</v>
      </c>
      <c r="CQ216" s="364">
        <v>0</v>
      </c>
      <c r="CR216" s="364">
        <v>0</v>
      </c>
      <c r="CS216" s="364">
        <v>0</v>
      </c>
      <c r="CT216" s="364">
        <v>0</v>
      </c>
      <c r="CU216" s="364">
        <v>0</v>
      </c>
      <c r="CV216" s="364">
        <v>0</v>
      </c>
      <c r="CW216" s="364">
        <v>0</v>
      </c>
      <c r="CX216" s="364">
        <v>0</v>
      </c>
      <c r="CY216" s="364"/>
      <c r="CZ216" s="364"/>
      <c r="DA216" s="364"/>
      <c r="DB216" s="364"/>
      <c r="DC216" s="364"/>
      <c r="DD216" s="364"/>
      <c r="DE216" s="364"/>
      <c r="DF216" s="364"/>
      <c r="DG216" s="364"/>
      <c r="DH216" s="364"/>
      <c r="DJ216" s="364"/>
      <c r="DK216" s="364"/>
      <c r="DL216" s="364"/>
      <c r="DM216" s="364"/>
      <c r="DN216" s="364"/>
      <c r="DO216" s="364"/>
      <c r="DP216" s="364"/>
      <c r="DQ216" s="364"/>
      <c r="DR216" s="364"/>
      <c r="DS216" s="364"/>
      <c r="DT216" s="364"/>
      <c r="DU216" s="364"/>
      <c r="DV216" s="364"/>
      <c r="DW216" s="649">
        <f t="shared" si="32"/>
        <v>0</v>
      </c>
      <c r="DX216" s="891"/>
      <c r="DY216" s="706"/>
      <c r="DZ216" s="872"/>
      <c r="EA216" s="896"/>
      <c r="EB216" s="879"/>
      <c r="EC216" s="879"/>
      <c r="ED216" s="879"/>
      <c r="EE216" s="879"/>
      <c r="EF216" s="881"/>
      <c r="EG216" s="1107"/>
      <c r="EI216" s="858"/>
      <c r="EJ216" s="877"/>
      <c r="ER216" s="625"/>
    </row>
    <row r="217" spans="1:148" s="278" customFormat="1" ht="24" outlineLevel="2" x14ac:dyDescent="0.2">
      <c r="A217" s="892" t="s">
        <v>580</v>
      </c>
      <c r="B217" s="897" t="s">
        <v>166</v>
      </c>
      <c r="C217" s="902">
        <v>14</v>
      </c>
      <c r="D217" s="863">
        <f>+'Detalle Plan de Adquisiciones'!L113</f>
        <v>0</v>
      </c>
      <c r="E217" s="866" t="str">
        <f>+'[12]Detalle Plan de Adquisiciones'!F111</f>
        <v>INTERVENTORÍA TÉCNICA, ADMINISTRATIVA, FINANCIERA Y AMBIENTAL AL CONTRATO CUYO OBJETO ES PUENTE VEHICULAR EN LA CALLE 41</v>
      </c>
      <c r="F217" s="312" t="s">
        <v>410</v>
      </c>
      <c r="G217" s="354">
        <v>0</v>
      </c>
      <c r="H217" s="354">
        <v>0</v>
      </c>
      <c r="I217" s="354">
        <v>0</v>
      </c>
      <c r="J217" s="354">
        <v>0</v>
      </c>
      <c r="K217" s="354">
        <v>0</v>
      </c>
      <c r="L217" s="354">
        <v>0</v>
      </c>
      <c r="M217" s="354">
        <v>0</v>
      </c>
      <c r="N217" s="354">
        <v>0</v>
      </c>
      <c r="O217" s="354">
        <v>0</v>
      </c>
      <c r="P217" s="354">
        <v>0</v>
      </c>
      <c r="Q217" s="354">
        <v>0</v>
      </c>
      <c r="R217" s="354">
        <v>0</v>
      </c>
      <c r="S217" s="354">
        <v>0</v>
      </c>
      <c r="T217" s="354">
        <v>0</v>
      </c>
      <c r="U217" s="354">
        <v>0</v>
      </c>
      <c r="V217" s="354">
        <v>0</v>
      </c>
      <c r="W217" s="354">
        <v>0</v>
      </c>
      <c r="X217" s="354">
        <v>0</v>
      </c>
      <c r="Y217" s="354">
        <v>0</v>
      </c>
      <c r="Z217" s="354">
        <v>0</v>
      </c>
      <c r="AA217" s="354">
        <v>0</v>
      </c>
      <c r="AB217" s="354">
        <v>0</v>
      </c>
      <c r="AC217" s="354">
        <v>0</v>
      </c>
      <c r="AD217" s="354">
        <v>0</v>
      </c>
      <c r="AE217" s="354">
        <v>0</v>
      </c>
      <c r="AF217" s="354">
        <v>0</v>
      </c>
      <c r="AG217" s="354">
        <v>0</v>
      </c>
      <c r="AH217" s="354">
        <v>0</v>
      </c>
      <c r="AI217" s="354">
        <v>0</v>
      </c>
      <c r="AJ217" s="354">
        <v>0</v>
      </c>
      <c r="AK217" s="354">
        <v>0</v>
      </c>
      <c r="AL217" s="354">
        <v>0</v>
      </c>
      <c r="AM217" s="354">
        <v>0</v>
      </c>
      <c r="AN217" s="354">
        <v>0</v>
      </c>
      <c r="AO217" s="354">
        <v>0</v>
      </c>
      <c r="AP217" s="354">
        <v>0</v>
      </c>
      <c r="AQ217" s="354">
        <v>0</v>
      </c>
      <c r="AR217" s="354">
        <v>0</v>
      </c>
      <c r="AS217" s="354">
        <v>0</v>
      </c>
      <c r="AT217" s="354">
        <v>0</v>
      </c>
      <c r="AU217" s="354">
        <v>0</v>
      </c>
      <c r="AV217" s="354">
        <v>0</v>
      </c>
      <c r="AW217" s="354">
        <v>0</v>
      </c>
      <c r="AX217" s="354">
        <v>0</v>
      </c>
      <c r="AY217" s="354">
        <v>0</v>
      </c>
      <c r="AZ217" s="354">
        <v>0</v>
      </c>
      <c r="BA217" s="354">
        <v>0</v>
      </c>
      <c r="BB217" s="354">
        <v>0</v>
      </c>
      <c r="BC217" s="354">
        <v>0</v>
      </c>
      <c r="BD217" s="354">
        <v>0</v>
      </c>
      <c r="BE217" s="354">
        <v>0</v>
      </c>
      <c r="BF217" s="354">
        <v>0</v>
      </c>
      <c r="BG217" s="354">
        <v>0</v>
      </c>
      <c r="BH217" s="354">
        <v>0</v>
      </c>
      <c r="BI217" s="354">
        <v>0</v>
      </c>
      <c r="BJ217" s="354">
        <v>0</v>
      </c>
      <c r="BK217" s="354">
        <v>0</v>
      </c>
      <c r="BL217" s="354">
        <v>0</v>
      </c>
      <c r="BM217" s="354">
        <v>0</v>
      </c>
      <c r="BN217" s="354">
        <v>0</v>
      </c>
      <c r="BO217" s="354">
        <v>0</v>
      </c>
      <c r="BP217" s="354">
        <v>0</v>
      </c>
      <c r="BQ217" s="354">
        <v>0</v>
      </c>
      <c r="BR217" s="354">
        <v>0</v>
      </c>
      <c r="BS217" s="354">
        <v>0</v>
      </c>
      <c r="BT217" s="354">
        <v>0</v>
      </c>
      <c r="BU217" s="354">
        <v>0</v>
      </c>
      <c r="BV217" s="354">
        <v>0</v>
      </c>
      <c r="BW217" s="354">
        <v>0</v>
      </c>
      <c r="BX217" s="354">
        <v>0</v>
      </c>
      <c r="BY217" s="354">
        <v>0</v>
      </c>
      <c r="BZ217" s="354">
        <v>0</v>
      </c>
      <c r="CA217" s="560">
        <v>0</v>
      </c>
      <c r="CB217" s="560">
        <v>0</v>
      </c>
      <c r="CC217" s="560">
        <v>0</v>
      </c>
      <c r="CD217" s="560">
        <v>0</v>
      </c>
      <c r="CE217" s="560">
        <v>0</v>
      </c>
      <c r="CF217" s="560">
        <v>0</v>
      </c>
      <c r="CG217" s="560">
        <v>0</v>
      </c>
      <c r="CH217" s="560">
        <v>0</v>
      </c>
      <c r="CI217" s="560">
        <v>0</v>
      </c>
      <c r="CJ217" s="560">
        <v>0</v>
      </c>
      <c r="CK217" s="560">
        <v>0</v>
      </c>
      <c r="CL217" s="560">
        <v>0</v>
      </c>
      <c r="CM217" s="354">
        <v>0</v>
      </c>
      <c r="CN217" s="354">
        <v>0</v>
      </c>
      <c r="CO217" s="354">
        <v>0</v>
      </c>
      <c r="CP217" s="354">
        <v>0</v>
      </c>
      <c r="CQ217" s="354">
        <v>0</v>
      </c>
      <c r="CR217" s="354">
        <v>0</v>
      </c>
      <c r="CS217" s="354">
        <v>0</v>
      </c>
      <c r="CT217" s="354">
        <v>0</v>
      </c>
      <c r="CU217" s="354">
        <v>0</v>
      </c>
      <c r="CV217" s="354">
        <v>0</v>
      </c>
      <c r="CW217" s="354">
        <v>0</v>
      </c>
      <c r="CX217" s="354">
        <v>0</v>
      </c>
      <c r="CY217" s="354">
        <v>0</v>
      </c>
      <c r="CZ217" s="354"/>
      <c r="DA217" s="354"/>
      <c r="DB217" s="354"/>
      <c r="DC217" s="354"/>
      <c r="DD217" s="354"/>
      <c r="DE217" s="354"/>
      <c r="DF217" s="354"/>
      <c r="DG217" s="354"/>
      <c r="DH217" s="354"/>
      <c r="DI217" s="354"/>
      <c r="DJ217" s="354"/>
      <c r="DK217" s="354">
        <f>(+$D$217/12)/1000000</f>
        <v>0</v>
      </c>
      <c r="DL217" s="354">
        <f t="shared" ref="DL217:DV217" si="34">(+$D$217/12)/1000000</f>
        <v>0</v>
      </c>
      <c r="DM217" s="354">
        <f t="shared" si="34"/>
        <v>0</v>
      </c>
      <c r="DN217" s="354">
        <f t="shared" si="34"/>
        <v>0</v>
      </c>
      <c r="DO217" s="354">
        <f t="shared" si="34"/>
        <v>0</v>
      </c>
      <c r="DP217" s="354">
        <f t="shared" si="34"/>
        <v>0</v>
      </c>
      <c r="DQ217" s="354">
        <f t="shared" si="34"/>
        <v>0</v>
      </c>
      <c r="DR217" s="354">
        <f t="shared" si="34"/>
        <v>0</v>
      </c>
      <c r="DS217" s="354">
        <f t="shared" si="34"/>
        <v>0</v>
      </c>
      <c r="DT217" s="354">
        <f t="shared" si="34"/>
        <v>0</v>
      </c>
      <c r="DU217" s="354">
        <f t="shared" si="34"/>
        <v>0</v>
      </c>
      <c r="DV217" s="354">
        <f t="shared" si="34"/>
        <v>0</v>
      </c>
      <c r="DW217" s="543">
        <f t="shared" si="32"/>
        <v>0</v>
      </c>
      <c r="DX217" s="858">
        <f>DW217+DW218+DW219</f>
        <v>0</v>
      </c>
      <c r="DY217" s="704">
        <f>+DX217*1000000</f>
        <v>0</v>
      </c>
      <c r="DZ217" s="870">
        <f>+DY217-D217</f>
        <v>0</v>
      </c>
      <c r="EA217" s="873" t="str">
        <f>VLOOKUP([12]POA!$B145,INTERPLAN,28,0)</f>
        <v>N/A</v>
      </c>
      <c r="EB217" s="859" t="e">
        <f>+EDATE(EA217,C217)</f>
        <v>#VALUE!</v>
      </c>
      <c r="EC217" s="859" t="e">
        <f>EB217+30</f>
        <v>#VALUE!</v>
      </c>
      <c r="ED217" s="859" t="e">
        <f>CONCATENATE(MONTH(EA217),"-",YEAR(EA217))</f>
        <v>#VALUE!</v>
      </c>
      <c r="EE217" s="859" t="e">
        <f>CONCATENATE(MONTH(EB217),"-",YEAR(EB217))</f>
        <v>#VALUE!</v>
      </c>
      <c r="EF217" s="861" t="e">
        <f>CONCATENATE(MONTH(EC217),"-",YEAR(EC217))</f>
        <v>#VALUE!</v>
      </c>
      <c r="EG217" s="1105" t="e">
        <f>+YEAR(EA217)</f>
        <v>#VALUE!</v>
      </c>
      <c r="EH217" s="393">
        <f>+DY217</f>
        <v>0</v>
      </c>
      <c r="EI217" s="858">
        <f>+DW217+DW218+DW219</f>
        <v>0</v>
      </c>
      <c r="EJ217" s="877">
        <f>+D217/1000000-EI217</f>
        <v>0</v>
      </c>
      <c r="ER217" s="625"/>
    </row>
    <row r="218" spans="1:148" s="278" customFormat="1" outlineLevel="2" x14ac:dyDescent="0.2">
      <c r="A218" s="893"/>
      <c r="B218" s="886"/>
      <c r="C218" s="903"/>
      <c r="D218" s="864"/>
      <c r="E218" s="867"/>
      <c r="F218" s="311" t="s">
        <v>210</v>
      </c>
      <c r="G218" s="363">
        <v>0</v>
      </c>
      <c r="H218" s="363">
        <v>0</v>
      </c>
      <c r="I218" s="363">
        <v>0</v>
      </c>
      <c r="J218" s="363">
        <v>0</v>
      </c>
      <c r="K218" s="363">
        <v>0</v>
      </c>
      <c r="L218" s="363">
        <v>0</v>
      </c>
      <c r="M218" s="363">
        <v>0</v>
      </c>
      <c r="N218" s="363">
        <v>0</v>
      </c>
      <c r="O218" s="363">
        <v>0</v>
      </c>
      <c r="P218" s="363">
        <v>0</v>
      </c>
      <c r="Q218" s="363">
        <v>0</v>
      </c>
      <c r="R218" s="363">
        <v>0</v>
      </c>
      <c r="S218" s="363">
        <v>0</v>
      </c>
      <c r="T218" s="363">
        <v>0</v>
      </c>
      <c r="U218" s="363">
        <v>0</v>
      </c>
      <c r="V218" s="363">
        <v>0</v>
      </c>
      <c r="W218" s="363">
        <v>0</v>
      </c>
      <c r="X218" s="363">
        <v>0</v>
      </c>
      <c r="Y218" s="363">
        <v>0</v>
      </c>
      <c r="Z218" s="363">
        <v>0</v>
      </c>
      <c r="AA218" s="363">
        <v>0</v>
      </c>
      <c r="AB218" s="363">
        <v>0</v>
      </c>
      <c r="AC218" s="363">
        <v>0</v>
      </c>
      <c r="AD218" s="363">
        <v>0</v>
      </c>
      <c r="AE218" s="363">
        <v>0</v>
      </c>
      <c r="AF218" s="363">
        <v>0</v>
      </c>
      <c r="AG218" s="363">
        <v>0</v>
      </c>
      <c r="AH218" s="363">
        <v>0</v>
      </c>
      <c r="AI218" s="363">
        <v>0</v>
      </c>
      <c r="AJ218" s="363">
        <v>0</v>
      </c>
      <c r="AK218" s="363">
        <v>0</v>
      </c>
      <c r="AL218" s="363">
        <v>0</v>
      </c>
      <c r="AM218" s="363">
        <v>0</v>
      </c>
      <c r="AN218" s="363">
        <v>0</v>
      </c>
      <c r="AO218" s="363">
        <v>0</v>
      </c>
      <c r="AP218" s="363">
        <v>0</v>
      </c>
      <c r="AQ218" s="363">
        <v>0</v>
      </c>
      <c r="AR218" s="363">
        <v>0</v>
      </c>
      <c r="AS218" s="363">
        <v>0</v>
      </c>
      <c r="AT218" s="363">
        <v>0</v>
      </c>
      <c r="AU218" s="363">
        <v>0</v>
      </c>
      <c r="AV218" s="363">
        <v>0</v>
      </c>
      <c r="AW218" s="363">
        <v>0</v>
      </c>
      <c r="AX218" s="363">
        <v>0</v>
      </c>
      <c r="AY218" s="363">
        <v>0</v>
      </c>
      <c r="AZ218" s="363">
        <v>0</v>
      </c>
      <c r="BA218" s="363">
        <v>0</v>
      </c>
      <c r="BB218" s="363">
        <v>0</v>
      </c>
      <c r="BC218" s="363">
        <v>0</v>
      </c>
      <c r="BD218" s="363">
        <v>0</v>
      </c>
      <c r="BE218" s="363">
        <v>0</v>
      </c>
      <c r="BF218" s="363">
        <v>0</v>
      </c>
      <c r="BG218" s="363">
        <v>0</v>
      </c>
      <c r="BH218" s="363">
        <v>0</v>
      </c>
      <c r="BI218" s="363">
        <v>0</v>
      </c>
      <c r="BJ218" s="363">
        <v>0</v>
      </c>
      <c r="BK218" s="363">
        <v>0</v>
      </c>
      <c r="BL218" s="363">
        <v>0</v>
      </c>
      <c r="BM218" s="363">
        <v>0</v>
      </c>
      <c r="BN218" s="363">
        <v>0</v>
      </c>
      <c r="BO218" s="363">
        <v>0</v>
      </c>
      <c r="BP218" s="363">
        <v>0</v>
      </c>
      <c r="BQ218" s="363">
        <v>0</v>
      </c>
      <c r="BR218" s="363">
        <v>0</v>
      </c>
      <c r="BS218" s="363">
        <v>0</v>
      </c>
      <c r="BT218" s="363">
        <v>0</v>
      </c>
      <c r="BU218" s="363">
        <v>0</v>
      </c>
      <c r="BV218" s="363">
        <v>0</v>
      </c>
      <c r="BW218" s="363">
        <v>0</v>
      </c>
      <c r="BX218" s="363">
        <v>0</v>
      </c>
      <c r="BY218" s="363">
        <v>0</v>
      </c>
      <c r="BZ218" s="363">
        <v>0</v>
      </c>
      <c r="CA218" s="363">
        <v>0</v>
      </c>
      <c r="CB218" s="363">
        <v>0</v>
      </c>
      <c r="CC218" s="363">
        <v>0</v>
      </c>
      <c r="CD218" s="363">
        <v>0</v>
      </c>
      <c r="CE218" s="363">
        <v>0</v>
      </c>
      <c r="CF218" s="363">
        <v>0</v>
      </c>
      <c r="CG218" s="363">
        <v>0</v>
      </c>
      <c r="CH218" s="363">
        <v>0</v>
      </c>
      <c r="CI218" s="363">
        <v>0</v>
      </c>
      <c r="CJ218" s="363">
        <v>0</v>
      </c>
      <c r="CK218" s="363">
        <v>0</v>
      </c>
      <c r="CL218" s="363">
        <v>0</v>
      </c>
      <c r="CM218" s="363">
        <v>0</v>
      </c>
      <c r="CN218" s="363">
        <v>0</v>
      </c>
      <c r="CO218" s="363">
        <v>0</v>
      </c>
      <c r="CP218" s="363">
        <v>0</v>
      </c>
      <c r="CQ218" s="363">
        <v>0</v>
      </c>
      <c r="CR218" s="363">
        <v>0</v>
      </c>
      <c r="CS218" s="363">
        <v>0</v>
      </c>
      <c r="CT218" s="363">
        <v>0</v>
      </c>
      <c r="CU218" s="363">
        <v>0</v>
      </c>
      <c r="CV218" s="363">
        <v>0</v>
      </c>
      <c r="CW218" s="363">
        <v>0</v>
      </c>
      <c r="CX218" s="363">
        <v>0</v>
      </c>
      <c r="CY218" s="363">
        <v>0</v>
      </c>
      <c r="CZ218" s="363">
        <v>0</v>
      </c>
      <c r="DA218" s="363">
        <v>0</v>
      </c>
      <c r="DB218" s="363">
        <v>0</v>
      </c>
      <c r="DC218" s="363">
        <v>0</v>
      </c>
      <c r="DD218" s="363">
        <v>0</v>
      </c>
      <c r="DE218" s="363">
        <v>0</v>
      </c>
      <c r="DF218" s="363">
        <v>0</v>
      </c>
      <c r="DG218" s="363">
        <v>0</v>
      </c>
      <c r="DH218" s="363">
        <v>0</v>
      </c>
      <c r="DI218" s="363">
        <v>0</v>
      </c>
      <c r="DJ218" s="363">
        <v>0</v>
      </c>
      <c r="DK218" s="363"/>
      <c r="DL218" s="363">
        <v>0</v>
      </c>
      <c r="DM218" s="363">
        <v>0</v>
      </c>
      <c r="DN218" s="363">
        <v>0</v>
      </c>
      <c r="DO218" s="363">
        <v>0</v>
      </c>
      <c r="DP218" s="363">
        <v>0</v>
      </c>
      <c r="DQ218" s="363">
        <v>0</v>
      </c>
      <c r="DR218" s="363">
        <v>0</v>
      </c>
      <c r="DS218" s="363">
        <v>0</v>
      </c>
      <c r="DT218" s="363">
        <v>0</v>
      </c>
      <c r="DU218" s="363">
        <v>0</v>
      </c>
      <c r="DV218" s="363">
        <v>0</v>
      </c>
      <c r="DW218" s="544">
        <f t="shared" si="32"/>
        <v>0</v>
      </c>
      <c r="DX218" s="858"/>
      <c r="DY218" s="705"/>
      <c r="DZ218" s="871"/>
      <c r="EA218" s="873"/>
      <c r="EB218" s="859"/>
      <c r="EC218" s="859"/>
      <c r="ED218" s="859"/>
      <c r="EE218" s="859"/>
      <c r="EF218" s="861"/>
      <c r="EG218" s="1106"/>
      <c r="EI218" s="858"/>
      <c r="EJ218" s="877"/>
      <c r="ER218" s="625"/>
    </row>
    <row r="219" spans="1:148" s="278" customFormat="1" ht="34.5" customHeight="1" outlineLevel="2" thickBot="1" x14ac:dyDescent="0.25">
      <c r="A219" s="1006"/>
      <c r="B219" s="908"/>
      <c r="C219" s="909"/>
      <c r="D219" s="876"/>
      <c r="E219" s="875"/>
      <c r="F219" s="313" t="s">
        <v>211</v>
      </c>
      <c r="G219" s="387">
        <v>0</v>
      </c>
      <c r="H219" s="387">
        <v>0</v>
      </c>
      <c r="I219" s="387">
        <v>0</v>
      </c>
      <c r="J219" s="387">
        <v>0</v>
      </c>
      <c r="K219" s="387">
        <v>0</v>
      </c>
      <c r="L219" s="387">
        <v>0</v>
      </c>
      <c r="M219" s="387">
        <v>0</v>
      </c>
      <c r="N219" s="387">
        <v>0</v>
      </c>
      <c r="O219" s="387">
        <v>0</v>
      </c>
      <c r="P219" s="387">
        <v>0</v>
      </c>
      <c r="Q219" s="387">
        <v>0</v>
      </c>
      <c r="R219" s="387">
        <v>0</v>
      </c>
      <c r="S219" s="387">
        <v>0</v>
      </c>
      <c r="T219" s="387">
        <v>0</v>
      </c>
      <c r="U219" s="387">
        <v>0</v>
      </c>
      <c r="V219" s="387">
        <v>0</v>
      </c>
      <c r="W219" s="387">
        <v>0</v>
      </c>
      <c r="X219" s="387">
        <v>0</v>
      </c>
      <c r="Y219" s="387">
        <v>0</v>
      </c>
      <c r="Z219" s="387">
        <v>0</v>
      </c>
      <c r="AA219" s="387">
        <v>0</v>
      </c>
      <c r="AB219" s="387">
        <v>0</v>
      </c>
      <c r="AC219" s="387">
        <v>0</v>
      </c>
      <c r="AD219" s="387">
        <v>0</v>
      </c>
      <c r="AE219" s="387">
        <v>0</v>
      </c>
      <c r="AF219" s="387">
        <v>0</v>
      </c>
      <c r="AG219" s="387">
        <v>0</v>
      </c>
      <c r="AH219" s="387">
        <v>0</v>
      </c>
      <c r="AI219" s="387">
        <v>0</v>
      </c>
      <c r="AJ219" s="387">
        <v>0</v>
      </c>
      <c r="AK219" s="387">
        <v>0</v>
      </c>
      <c r="AL219" s="387">
        <v>0</v>
      </c>
      <c r="AM219" s="387">
        <v>0</v>
      </c>
      <c r="AN219" s="387">
        <v>0</v>
      </c>
      <c r="AO219" s="387">
        <v>0</v>
      </c>
      <c r="AP219" s="387">
        <v>0</v>
      </c>
      <c r="AQ219" s="387">
        <v>0</v>
      </c>
      <c r="AR219" s="387">
        <v>0</v>
      </c>
      <c r="AS219" s="387">
        <v>0</v>
      </c>
      <c r="AT219" s="387">
        <v>0</v>
      </c>
      <c r="AU219" s="387">
        <v>0</v>
      </c>
      <c r="AV219" s="387">
        <v>0</v>
      </c>
      <c r="AW219" s="387">
        <v>0</v>
      </c>
      <c r="AX219" s="387">
        <v>0</v>
      </c>
      <c r="AY219" s="387">
        <v>0</v>
      </c>
      <c r="AZ219" s="387">
        <v>0</v>
      </c>
      <c r="BA219" s="387">
        <v>0</v>
      </c>
      <c r="BB219" s="387">
        <v>0</v>
      </c>
      <c r="BC219" s="387">
        <v>0</v>
      </c>
      <c r="BD219" s="387">
        <v>0</v>
      </c>
      <c r="BE219" s="387">
        <v>0</v>
      </c>
      <c r="BF219" s="387">
        <v>0</v>
      </c>
      <c r="BG219" s="387">
        <v>0</v>
      </c>
      <c r="BH219" s="387">
        <v>0</v>
      </c>
      <c r="BI219" s="387">
        <v>0</v>
      </c>
      <c r="BJ219" s="387">
        <v>0</v>
      </c>
      <c r="BK219" s="387">
        <v>0</v>
      </c>
      <c r="BL219" s="387">
        <v>0</v>
      </c>
      <c r="BM219" s="387">
        <v>0</v>
      </c>
      <c r="BN219" s="387">
        <v>0</v>
      </c>
      <c r="BO219" s="387">
        <v>0</v>
      </c>
      <c r="BP219" s="387">
        <v>0</v>
      </c>
      <c r="BQ219" s="387">
        <v>0</v>
      </c>
      <c r="BR219" s="387">
        <v>0</v>
      </c>
      <c r="BS219" s="387">
        <v>0</v>
      </c>
      <c r="BT219" s="387">
        <v>0</v>
      </c>
      <c r="BU219" s="387">
        <v>0</v>
      </c>
      <c r="BV219" s="387">
        <v>0</v>
      </c>
      <c r="BW219" s="387">
        <v>0</v>
      </c>
      <c r="BX219" s="387">
        <v>0</v>
      </c>
      <c r="BY219" s="387">
        <v>0</v>
      </c>
      <c r="BZ219" s="387">
        <v>0</v>
      </c>
      <c r="CA219" s="387">
        <v>0</v>
      </c>
      <c r="CB219" s="387">
        <v>0</v>
      </c>
      <c r="CC219" s="387">
        <v>0</v>
      </c>
      <c r="CD219" s="387">
        <v>0</v>
      </c>
      <c r="CE219" s="387">
        <v>0</v>
      </c>
      <c r="CF219" s="387">
        <v>0</v>
      </c>
      <c r="CG219" s="387">
        <v>0</v>
      </c>
      <c r="CH219" s="387">
        <v>0</v>
      </c>
      <c r="CI219" s="387">
        <v>0</v>
      </c>
      <c r="CJ219" s="387">
        <v>0</v>
      </c>
      <c r="CK219" s="387">
        <v>0</v>
      </c>
      <c r="CL219" s="387">
        <v>0</v>
      </c>
      <c r="CM219" s="387">
        <v>0</v>
      </c>
      <c r="CN219" s="387">
        <v>0</v>
      </c>
      <c r="CO219" s="387">
        <v>0</v>
      </c>
      <c r="CP219" s="387">
        <v>0</v>
      </c>
      <c r="CQ219" s="387">
        <v>0</v>
      </c>
      <c r="CR219" s="387">
        <v>0</v>
      </c>
      <c r="CS219" s="387">
        <v>0</v>
      </c>
      <c r="CT219" s="387">
        <v>0</v>
      </c>
      <c r="CU219" s="387">
        <v>0</v>
      </c>
      <c r="CV219" s="387">
        <v>0</v>
      </c>
      <c r="CW219" s="387">
        <v>0</v>
      </c>
      <c r="CX219" s="387">
        <v>0</v>
      </c>
      <c r="CY219" s="387">
        <v>0</v>
      </c>
      <c r="CZ219" s="387"/>
      <c r="DA219" s="387"/>
      <c r="DB219" s="387"/>
      <c r="DC219" s="387"/>
      <c r="DD219" s="387"/>
      <c r="DE219" s="387"/>
      <c r="DF219" s="387"/>
      <c r="DG219" s="387"/>
      <c r="DH219" s="387"/>
      <c r="DI219" s="387"/>
      <c r="DJ219" s="387"/>
      <c r="DK219" s="387"/>
      <c r="DL219" s="387"/>
      <c r="DM219" s="387"/>
      <c r="DN219" s="387"/>
      <c r="DO219" s="387"/>
      <c r="DP219" s="387"/>
      <c r="DQ219" s="387"/>
      <c r="DR219" s="387"/>
      <c r="DS219" s="387"/>
      <c r="DT219" s="387"/>
      <c r="DU219" s="387"/>
      <c r="DV219" s="387"/>
      <c r="DW219" s="545">
        <f t="shared" si="32"/>
        <v>0</v>
      </c>
      <c r="DX219" s="858"/>
      <c r="DY219" s="706"/>
      <c r="DZ219" s="872"/>
      <c r="EA219" s="873"/>
      <c r="EB219" s="859"/>
      <c r="EC219" s="859"/>
      <c r="ED219" s="859"/>
      <c r="EE219" s="859"/>
      <c r="EF219" s="861"/>
      <c r="EG219" s="1107"/>
      <c r="EI219" s="858"/>
      <c r="EJ219" s="877"/>
      <c r="ER219" s="625"/>
    </row>
    <row r="220" spans="1:148" s="278" customFormat="1" ht="24" outlineLevel="2" x14ac:dyDescent="0.2">
      <c r="A220" s="1085"/>
      <c r="B220" s="897">
        <v>8</v>
      </c>
      <c r="C220" s="897"/>
      <c r="D220" s="863">
        <f>+IFERROR(VLOOKUP(B220,'Detalle Plan de Adquisiciones'!$G$6:$M$66,7,FALSE),0)</f>
        <v>0</v>
      </c>
      <c r="E220" s="866" t="str">
        <f>+'Detalle Plan de Adquisiciones'!F35</f>
        <v>CONSTRUCCIÓN DE PAVIMENTO RÍGIDO, ANDENES Y ESPACIO PUBLICO DE LA CALLE 36 ENTRE CARRERA 1 W Y AVENIDA CIRCUNVALAR, ID(8). PERTENECIENTE AL SISTEMA ESTRATÉGICO DE TRANSPORTE PUBLICO "SETP" DE LA CIUDAD DE MONTERÍA.</v>
      </c>
      <c r="F220" s="312" t="s">
        <v>410</v>
      </c>
      <c r="G220" s="354">
        <v>0</v>
      </c>
      <c r="H220" s="354">
        <v>0</v>
      </c>
      <c r="I220" s="354">
        <v>0</v>
      </c>
      <c r="J220" s="354">
        <v>0</v>
      </c>
      <c r="K220" s="354">
        <v>0</v>
      </c>
      <c r="L220" s="354">
        <v>0</v>
      </c>
      <c r="M220" s="354">
        <v>0</v>
      </c>
      <c r="N220" s="354">
        <v>0</v>
      </c>
      <c r="O220" s="354">
        <v>0</v>
      </c>
      <c r="P220" s="354">
        <v>0</v>
      </c>
      <c r="Q220" s="354">
        <v>0</v>
      </c>
      <c r="R220" s="354">
        <v>0</v>
      </c>
      <c r="S220" s="354">
        <v>0</v>
      </c>
      <c r="T220" s="354">
        <v>0</v>
      </c>
      <c r="U220" s="354">
        <v>0</v>
      </c>
      <c r="V220" s="354">
        <v>0</v>
      </c>
      <c r="W220" s="354">
        <v>0</v>
      </c>
      <c r="X220" s="354">
        <v>0</v>
      </c>
      <c r="Y220" s="354">
        <v>0</v>
      </c>
      <c r="Z220" s="354">
        <v>0</v>
      </c>
      <c r="AA220" s="354">
        <v>0</v>
      </c>
      <c r="AB220" s="354">
        <v>0</v>
      </c>
      <c r="AC220" s="354">
        <v>0</v>
      </c>
      <c r="AD220" s="354">
        <v>0</v>
      </c>
      <c r="AE220" s="354">
        <v>0</v>
      </c>
      <c r="AF220" s="354">
        <v>0</v>
      </c>
      <c r="AG220" s="354">
        <v>0</v>
      </c>
      <c r="AH220" s="354">
        <v>0</v>
      </c>
      <c r="AI220" s="354">
        <v>0</v>
      </c>
      <c r="AJ220" s="354">
        <v>0</v>
      </c>
      <c r="AK220" s="354">
        <v>0</v>
      </c>
      <c r="AL220" s="354">
        <v>0</v>
      </c>
      <c r="AM220" s="354">
        <v>0</v>
      </c>
      <c r="AN220" s="354">
        <v>0</v>
      </c>
      <c r="AO220" s="354">
        <v>0</v>
      </c>
      <c r="AP220" s="354">
        <v>0</v>
      </c>
      <c r="AQ220" s="354">
        <v>0</v>
      </c>
      <c r="AR220" s="354">
        <v>0</v>
      </c>
      <c r="AS220" s="354">
        <v>0</v>
      </c>
      <c r="AT220" s="354">
        <v>0</v>
      </c>
      <c r="AU220" s="354">
        <v>0</v>
      </c>
      <c r="AV220" s="354">
        <v>0</v>
      </c>
      <c r="AW220" s="354">
        <v>0</v>
      </c>
      <c r="AX220" s="354">
        <v>0</v>
      </c>
      <c r="AY220" s="354">
        <v>0</v>
      </c>
      <c r="AZ220" s="354">
        <v>0</v>
      </c>
      <c r="BA220" s="354">
        <v>0</v>
      </c>
      <c r="BB220" s="354">
        <v>0</v>
      </c>
      <c r="BC220" s="354">
        <v>0</v>
      </c>
      <c r="BD220" s="354">
        <v>0</v>
      </c>
      <c r="BE220" s="354">
        <v>0</v>
      </c>
      <c r="BF220" s="354">
        <v>0</v>
      </c>
      <c r="BG220" s="354">
        <v>0</v>
      </c>
      <c r="BH220" s="354">
        <v>0</v>
      </c>
      <c r="BI220" s="354">
        <v>0</v>
      </c>
      <c r="BJ220" s="354">
        <v>0</v>
      </c>
      <c r="BK220" s="354">
        <v>0</v>
      </c>
      <c r="BL220" s="354">
        <v>0</v>
      </c>
      <c r="BM220" s="354">
        <v>0</v>
      </c>
      <c r="BN220" s="354">
        <v>0</v>
      </c>
      <c r="BO220" s="354">
        <v>0</v>
      </c>
      <c r="BP220" s="354">
        <v>0</v>
      </c>
      <c r="BQ220" s="354">
        <v>0</v>
      </c>
      <c r="BR220" s="354">
        <v>0</v>
      </c>
      <c r="BS220" s="354">
        <v>0</v>
      </c>
      <c r="BT220" s="354">
        <v>0</v>
      </c>
      <c r="BU220" s="354">
        <v>0</v>
      </c>
      <c r="BV220" s="354">
        <v>0</v>
      </c>
      <c r="BW220" s="354">
        <v>0</v>
      </c>
      <c r="BX220" s="354">
        <v>0</v>
      </c>
      <c r="BY220" s="354">
        <v>0</v>
      </c>
      <c r="BZ220" s="354">
        <v>0</v>
      </c>
      <c r="CA220" s="354">
        <v>0</v>
      </c>
      <c r="CB220" s="354">
        <v>0</v>
      </c>
      <c r="CC220" s="354">
        <v>0</v>
      </c>
      <c r="CD220" s="354">
        <v>0</v>
      </c>
      <c r="CE220" s="354">
        <v>0</v>
      </c>
      <c r="CF220" s="354">
        <v>0</v>
      </c>
      <c r="CG220" s="354">
        <v>0</v>
      </c>
      <c r="CH220" s="354">
        <v>0</v>
      </c>
      <c r="CI220" s="354">
        <v>0</v>
      </c>
      <c r="CJ220" s="354">
        <v>0</v>
      </c>
      <c r="CK220" s="354">
        <v>0</v>
      </c>
      <c r="CL220" s="354">
        <v>0</v>
      </c>
      <c r="CM220" s="354"/>
      <c r="CN220" s="354"/>
      <c r="CO220" s="354"/>
      <c r="CP220" s="354"/>
      <c r="CQ220" s="354"/>
      <c r="CR220" s="354"/>
      <c r="CS220" s="354"/>
      <c r="CT220" s="354"/>
      <c r="CU220" s="354"/>
      <c r="CV220" s="354"/>
      <c r="CW220" s="354"/>
      <c r="CX220" s="354"/>
      <c r="CY220" s="354"/>
      <c r="CZ220" s="354"/>
      <c r="DA220" s="354"/>
      <c r="DB220" s="354"/>
      <c r="DC220" s="354"/>
      <c r="DD220" s="354"/>
      <c r="DE220" s="354"/>
      <c r="DF220" s="354"/>
      <c r="DG220" s="354"/>
      <c r="DH220" s="354"/>
      <c r="DI220" s="354"/>
      <c r="DJ220" s="354"/>
      <c r="DK220" s="354"/>
      <c r="DL220" s="354"/>
      <c r="DM220" s="354"/>
      <c r="DN220" s="354"/>
      <c r="DO220" s="354"/>
      <c r="DP220" s="354"/>
      <c r="DQ220" s="354"/>
      <c r="DR220" s="354"/>
      <c r="DS220" s="354"/>
      <c r="DT220" s="354"/>
      <c r="DU220" s="354"/>
      <c r="DV220" s="354"/>
      <c r="DW220" s="543">
        <f t="shared" ref="DW220:DW243" si="35">SUM(G220:DV220)</f>
        <v>0</v>
      </c>
      <c r="DX220" s="858">
        <f>DW220+DW221+DW222</f>
        <v>0</v>
      </c>
      <c r="DY220" s="704">
        <f>+DX220*1000000</f>
        <v>0</v>
      </c>
      <c r="DZ220" s="870">
        <f>+DY220-D220</f>
        <v>0</v>
      </c>
      <c r="EA220" s="873" t="str">
        <f>VLOOKUP(POA!$B220,'Detalle Plan de Adquisiciones'!$G$6:$AF$66,23,0)</f>
        <v>N/A</v>
      </c>
      <c r="EB220" s="859" t="str">
        <f>VLOOKUP(POA!$B220,'Detalle Plan de Adquisiciones'!$G$6:$AF$66,25,0)</f>
        <v>N/A</v>
      </c>
      <c r="EC220" s="859" t="e">
        <f>EB220+30</f>
        <v>#VALUE!</v>
      </c>
      <c r="ED220" s="859" t="e">
        <f>CONCATENATE(MONTH(EA220),"-",YEAR(EA220))</f>
        <v>#VALUE!</v>
      </c>
      <c r="EE220" s="859" t="e">
        <f>CONCATENATE(MONTH(EB220),"-",YEAR(EB220))</f>
        <v>#VALUE!</v>
      </c>
      <c r="EF220" s="861" t="e">
        <f>CONCATENATE(MONTH(EC220),"-",YEAR(EC220))</f>
        <v>#VALUE!</v>
      </c>
      <c r="EG220" s="1105" t="e">
        <f>+YEAR(EA220)</f>
        <v>#VALUE!</v>
      </c>
      <c r="EH220" s="393">
        <f>+DY220</f>
        <v>0</v>
      </c>
      <c r="EI220" s="858">
        <f>+DW220+DW221+DW222</f>
        <v>0</v>
      </c>
      <c r="EJ220" s="877">
        <f>+D220/1000000-EI220</f>
        <v>0</v>
      </c>
      <c r="ER220" s="497"/>
    </row>
    <row r="221" spans="1:148" s="278" customFormat="1" outlineLevel="2" x14ac:dyDescent="0.2">
      <c r="A221" s="1086"/>
      <c r="B221" s="886"/>
      <c r="C221" s="886"/>
      <c r="D221" s="864"/>
      <c r="E221" s="867"/>
      <c r="F221" s="311" t="s">
        <v>210</v>
      </c>
      <c r="G221" s="363">
        <v>0</v>
      </c>
      <c r="H221" s="363">
        <v>0</v>
      </c>
      <c r="I221" s="363">
        <v>0</v>
      </c>
      <c r="J221" s="363">
        <v>0</v>
      </c>
      <c r="K221" s="363">
        <v>0</v>
      </c>
      <c r="L221" s="363">
        <v>0</v>
      </c>
      <c r="M221" s="363">
        <v>0</v>
      </c>
      <c r="N221" s="363">
        <v>0</v>
      </c>
      <c r="O221" s="363">
        <v>0</v>
      </c>
      <c r="P221" s="363">
        <v>0</v>
      </c>
      <c r="Q221" s="363">
        <v>0</v>
      </c>
      <c r="R221" s="363">
        <v>0</v>
      </c>
      <c r="S221" s="363">
        <v>0</v>
      </c>
      <c r="T221" s="363">
        <v>0</v>
      </c>
      <c r="U221" s="363">
        <v>0</v>
      </c>
      <c r="V221" s="363">
        <v>0</v>
      </c>
      <c r="W221" s="363">
        <v>0</v>
      </c>
      <c r="X221" s="363">
        <v>0</v>
      </c>
      <c r="Y221" s="363">
        <v>0</v>
      </c>
      <c r="Z221" s="363">
        <v>0</v>
      </c>
      <c r="AA221" s="363">
        <v>0</v>
      </c>
      <c r="AB221" s="363">
        <v>0</v>
      </c>
      <c r="AC221" s="363">
        <v>0</v>
      </c>
      <c r="AD221" s="363">
        <v>0</v>
      </c>
      <c r="AE221" s="363">
        <v>0</v>
      </c>
      <c r="AF221" s="363">
        <v>0</v>
      </c>
      <c r="AG221" s="363">
        <v>0</v>
      </c>
      <c r="AH221" s="363">
        <v>0</v>
      </c>
      <c r="AI221" s="363">
        <v>0</v>
      </c>
      <c r="AJ221" s="363">
        <v>0</v>
      </c>
      <c r="AK221" s="363">
        <v>0</v>
      </c>
      <c r="AL221" s="363">
        <v>0</v>
      </c>
      <c r="AM221" s="363">
        <v>0</v>
      </c>
      <c r="AN221" s="363">
        <v>0</v>
      </c>
      <c r="AO221" s="363">
        <v>0</v>
      </c>
      <c r="AP221" s="363">
        <v>0</v>
      </c>
      <c r="AQ221" s="363">
        <v>0</v>
      </c>
      <c r="AR221" s="363">
        <v>0</v>
      </c>
      <c r="AS221" s="363">
        <v>0</v>
      </c>
      <c r="AT221" s="363">
        <v>0</v>
      </c>
      <c r="AU221" s="363">
        <v>0</v>
      </c>
      <c r="AV221" s="363">
        <v>0</v>
      </c>
      <c r="AW221" s="363">
        <v>0</v>
      </c>
      <c r="AX221" s="363">
        <v>0</v>
      </c>
      <c r="AY221" s="363">
        <v>0</v>
      </c>
      <c r="AZ221" s="363">
        <v>0</v>
      </c>
      <c r="BA221" s="363">
        <v>0</v>
      </c>
      <c r="BB221" s="363">
        <v>0</v>
      </c>
      <c r="BC221" s="363">
        <v>0</v>
      </c>
      <c r="BD221" s="363">
        <v>0</v>
      </c>
      <c r="BE221" s="363">
        <v>0</v>
      </c>
      <c r="BF221" s="363">
        <v>0</v>
      </c>
      <c r="BG221" s="363">
        <v>0</v>
      </c>
      <c r="BH221" s="363">
        <v>0</v>
      </c>
      <c r="BI221" s="363">
        <v>0</v>
      </c>
      <c r="BJ221" s="363">
        <v>0</v>
      </c>
      <c r="BK221" s="363">
        <v>0</v>
      </c>
      <c r="BL221" s="363">
        <v>0</v>
      </c>
      <c r="BM221" s="363">
        <v>0</v>
      </c>
      <c r="BN221" s="363">
        <v>0</v>
      </c>
      <c r="BO221" s="363">
        <v>0</v>
      </c>
      <c r="BP221" s="363">
        <v>0</v>
      </c>
      <c r="BQ221" s="363">
        <v>0</v>
      </c>
      <c r="BR221" s="363">
        <v>0</v>
      </c>
      <c r="BS221" s="363">
        <v>0</v>
      </c>
      <c r="BT221" s="363">
        <v>0</v>
      </c>
      <c r="BU221" s="363">
        <v>0</v>
      </c>
      <c r="BV221" s="363">
        <v>0</v>
      </c>
      <c r="BW221" s="363">
        <v>0</v>
      </c>
      <c r="BX221" s="363">
        <v>0</v>
      </c>
      <c r="BY221" s="363">
        <v>0</v>
      </c>
      <c r="BZ221" s="363">
        <v>0</v>
      </c>
      <c r="CA221" s="363">
        <v>0</v>
      </c>
      <c r="CB221" s="363">
        <v>0</v>
      </c>
      <c r="CC221" s="363">
        <v>0</v>
      </c>
      <c r="CD221" s="363">
        <v>0</v>
      </c>
      <c r="CE221" s="363">
        <v>0</v>
      </c>
      <c r="CF221" s="363">
        <v>0</v>
      </c>
      <c r="CG221" s="363">
        <v>0</v>
      </c>
      <c r="CH221" s="363">
        <v>0</v>
      </c>
      <c r="CI221" s="363">
        <v>0</v>
      </c>
      <c r="CJ221" s="363">
        <v>0</v>
      </c>
      <c r="CK221" s="363">
        <v>0</v>
      </c>
      <c r="CL221" s="363">
        <v>0</v>
      </c>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544">
        <f t="shared" si="35"/>
        <v>0</v>
      </c>
      <c r="DX221" s="858"/>
      <c r="DY221" s="705"/>
      <c r="DZ221" s="871"/>
      <c r="EA221" s="873"/>
      <c r="EB221" s="859"/>
      <c r="EC221" s="859"/>
      <c r="ED221" s="859"/>
      <c r="EE221" s="859"/>
      <c r="EF221" s="861"/>
      <c r="EG221" s="1106"/>
      <c r="EI221" s="858"/>
      <c r="EJ221" s="877"/>
      <c r="ER221" s="497"/>
    </row>
    <row r="222" spans="1:148" s="278" customFormat="1" ht="12.75" outlineLevel="2" thickBot="1" x14ac:dyDescent="0.25">
      <c r="A222" s="1087"/>
      <c r="B222" s="908"/>
      <c r="C222" s="908"/>
      <c r="D222" s="876"/>
      <c r="E222" s="875"/>
      <c r="F222" s="313" t="s">
        <v>211</v>
      </c>
      <c r="G222" s="387">
        <v>0</v>
      </c>
      <c r="H222" s="387">
        <v>0</v>
      </c>
      <c r="I222" s="387">
        <v>0</v>
      </c>
      <c r="J222" s="387">
        <v>0</v>
      </c>
      <c r="K222" s="387">
        <v>0</v>
      </c>
      <c r="L222" s="387">
        <v>0</v>
      </c>
      <c r="M222" s="387">
        <v>0</v>
      </c>
      <c r="N222" s="387">
        <v>0</v>
      </c>
      <c r="O222" s="387">
        <v>0</v>
      </c>
      <c r="P222" s="387">
        <v>0</v>
      </c>
      <c r="Q222" s="387">
        <v>0</v>
      </c>
      <c r="R222" s="387">
        <v>0</v>
      </c>
      <c r="S222" s="387">
        <v>0</v>
      </c>
      <c r="T222" s="387">
        <v>0</v>
      </c>
      <c r="U222" s="387">
        <v>0</v>
      </c>
      <c r="V222" s="387">
        <v>0</v>
      </c>
      <c r="W222" s="387">
        <v>0</v>
      </c>
      <c r="X222" s="387">
        <v>0</v>
      </c>
      <c r="Y222" s="387">
        <v>0</v>
      </c>
      <c r="Z222" s="387">
        <v>0</v>
      </c>
      <c r="AA222" s="387">
        <v>0</v>
      </c>
      <c r="AB222" s="387">
        <v>0</v>
      </c>
      <c r="AC222" s="387">
        <v>0</v>
      </c>
      <c r="AD222" s="387">
        <v>0</v>
      </c>
      <c r="AE222" s="387">
        <v>0</v>
      </c>
      <c r="AF222" s="387">
        <v>0</v>
      </c>
      <c r="AG222" s="387">
        <v>0</v>
      </c>
      <c r="AH222" s="387">
        <v>0</v>
      </c>
      <c r="AI222" s="387">
        <v>0</v>
      </c>
      <c r="AJ222" s="387">
        <v>0</v>
      </c>
      <c r="AK222" s="387">
        <v>0</v>
      </c>
      <c r="AL222" s="387">
        <v>0</v>
      </c>
      <c r="AM222" s="387">
        <v>0</v>
      </c>
      <c r="AN222" s="387">
        <v>0</v>
      </c>
      <c r="AO222" s="387">
        <v>0</v>
      </c>
      <c r="AP222" s="387">
        <v>0</v>
      </c>
      <c r="AQ222" s="387">
        <v>0</v>
      </c>
      <c r="AR222" s="387">
        <v>0</v>
      </c>
      <c r="AS222" s="387">
        <v>0</v>
      </c>
      <c r="AT222" s="387">
        <v>0</v>
      </c>
      <c r="AU222" s="387">
        <v>0</v>
      </c>
      <c r="AV222" s="387">
        <v>0</v>
      </c>
      <c r="AW222" s="387">
        <v>0</v>
      </c>
      <c r="AX222" s="387">
        <v>0</v>
      </c>
      <c r="AY222" s="387">
        <v>0</v>
      </c>
      <c r="AZ222" s="387">
        <v>0</v>
      </c>
      <c r="BA222" s="387">
        <v>0</v>
      </c>
      <c r="BB222" s="387">
        <v>0</v>
      </c>
      <c r="BC222" s="387">
        <v>0</v>
      </c>
      <c r="BD222" s="387">
        <v>0</v>
      </c>
      <c r="BE222" s="387">
        <v>0</v>
      </c>
      <c r="BF222" s="387">
        <v>0</v>
      </c>
      <c r="BG222" s="387">
        <v>0</v>
      </c>
      <c r="BH222" s="387">
        <v>0</v>
      </c>
      <c r="BI222" s="387">
        <v>0</v>
      </c>
      <c r="BJ222" s="387">
        <v>0</v>
      </c>
      <c r="BK222" s="387">
        <v>0</v>
      </c>
      <c r="BL222" s="387">
        <v>0</v>
      </c>
      <c r="BM222" s="387">
        <v>0</v>
      </c>
      <c r="BN222" s="387">
        <v>0</v>
      </c>
      <c r="BO222" s="387">
        <v>0</v>
      </c>
      <c r="BP222" s="387">
        <v>0</v>
      </c>
      <c r="BQ222" s="387">
        <v>0</v>
      </c>
      <c r="BR222" s="387">
        <v>0</v>
      </c>
      <c r="BS222" s="387">
        <v>0</v>
      </c>
      <c r="BT222" s="387">
        <v>0</v>
      </c>
      <c r="BU222" s="387">
        <v>0</v>
      </c>
      <c r="BV222" s="387">
        <v>0</v>
      </c>
      <c r="BW222" s="387">
        <v>0</v>
      </c>
      <c r="BX222" s="387">
        <v>0</v>
      </c>
      <c r="BY222" s="387">
        <v>0</v>
      </c>
      <c r="BZ222" s="387">
        <v>0</v>
      </c>
      <c r="CA222" s="387">
        <v>0</v>
      </c>
      <c r="CB222" s="387">
        <v>0</v>
      </c>
      <c r="CC222" s="387">
        <v>0</v>
      </c>
      <c r="CD222" s="387">
        <v>0</v>
      </c>
      <c r="CE222" s="387">
        <v>0</v>
      </c>
      <c r="CF222" s="387">
        <v>0</v>
      </c>
      <c r="CG222" s="387">
        <v>0</v>
      </c>
      <c r="CH222" s="387">
        <v>0</v>
      </c>
      <c r="CI222" s="387">
        <v>0</v>
      </c>
      <c r="CJ222" s="387">
        <v>0</v>
      </c>
      <c r="CK222" s="387">
        <v>0</v>
      </c>
      <c r="CL222" s="387">
        <v>0</v>
      </c>
      <c r="CM222" s="387"/>
      <c r="CN222" s="387"/>
      <c r="CO222" s="387"/>
      <c r="CP222" s="387"/>
      <c r="CQ222" s="387"/>
      <c r="CR222" s="387"/>
      <c r="CS222" s="387"/>
      <c r="CT222" s="387"/>
      <c r="CU222" s="387"/>
      <c r="CV222" s="387"/>
      <c r="CW222" s="387"/>
      <c r="CX222" s="387"/>
      <c r="CY222" s="387"/>
      <c r="CZ222" s="387"/>
      <c r="DA222" s="387"/>
      <c r="DB222" s="387"/>
      <c r="DC222" s="387"/>
      <c r="DD222" s="387"/>
      <c r="DE222" s="387"/>
      <c r="DF222" s="387"/>
      <c r="DG222" s="387"/>
      <c r="DH222" s="387"/>
      <c r="DI222" s="387"/>
      <c r="DJ222" s="387"/>
      <c r="DK222" s="387"/>
      <c r="DL222" s="387"/>
      <c r="DM222" s="387"/>
      <c r="DN222" s="387"/>
      <c r="DO222" s="387"/>
      <c r="DP222" s="387"/>
      <c r="DQ222" s="387"/>
      <c r="DR222" s="387"/>
      <c r="DS222" s="387"/>
      <c r="DT222" s="387"/>
      <c r="DU222" s="387"/>
      <c r="DV222" s="387"/>
      <c r="DW222" s="545">
        <f t="shared" si="35"/>
        <v>0</v>
      </c>
      <c r="DX222" s="858"/>
      <c r="DY222" s="706"/>
      <c r="DZ222" s="872"/>
      <c r="EA222" s="873"/>
      <c r="EB222" s="859"/>
      <c r="EC222" s="859"/>
      <c r="ED222" s="859"/>
      <c r="EE222" s="859"/>
      <c r="EF222" s="861"/>
      <c r="EG222" s="1107"/>
      <c r="EI222" s="858"/>
      <c r="EJ222" s="877"/>
      <c r="ER222" s="497"/>
    </row>
    <row r="223" spans="1:148" s="278" customFormat="1" ht="24" outlineLevel="2" x14ac:dyDescent="0.2">
      <c r="A223" s="905" t="s">
        <v>557</v>
      </c>
      <c r="B223" s="897">
        <v>15</v>
      </c>
      <c r="C223" s="897"/>
      <c r="D223" s="1075">
        <f>+IFERROR(VLOOKUP(B223,'Detalle Plan de Adquisiciones'!$G$6:$M$66,7,FALSE),0)</f>
        <v>322461955</v>
      </c>
      <c r="E223" s="925" t="str">
        <f>+'Detalle Plan de Adquisiciones'!F36</f>
        <v>CALLE 93 ENTRE CARRERA 2 Y AVENIDA CIRCUNVALAR (BARRIO MOCARÍ)</v>
      </c>
      <c r="F223" s="312" t="s">
        <v>410</v>
      </c>
      <c r="G223" s="354">
        <v>0</v>
      </c>
      <c r="H223" s="354">
        <v>0</v>
      </c>
      <c r="I223" s="354">
        <v>0</v>
      </c>
      <c r="J223" s="354">
        <v>0</v>
      </c>
      <c r="K223" s="354">
        <v>0</v>
      </c>
      <c r="L223" s="354">
        <v>0</v>
      </c>
      <c r="M223" s="354">
        <v>0</v>
      </c>
      <c r="N223" s="354">
        <v>0</v>
      </c>
      <c r="O223" s="354">
        <v>0</v>
      </c>
      <c r="P223" s="354">
        <v>0</v>
      </c>
      <c r="Q223" s="354">
        <v>0</v>
      </c>
      <c r="R223" s="354">
        <v>0</v>
      </c>
      <c r="S223" s="354">
        <v>0</v>
      </c>
      <c r="T223" s="354">
        <v>0</v>
      </c>
      <c r="U223" s="354">
        <v>0</v>
      </c>
      <c r="V223" s="354">
        <v>0</v>
      </c>
      <c r="W223" s="354">
        <v>0</v>
      </c>
      <c r="X223" s="354">
        <v>0</v>
      </c>
      <c r="Y223" s="354">
        <v>0</v>
      </c>
      <c r="Z223" s="354">
        <v>0</v>
      </c>
      <c r="AA223" s="354">
        <v>0</v>
      </c>
      <c r="AB223" s="354">
        <v>0</v>
      </c>
      <c r="AC223" s="354">
        <v>0</v>
      </c>
      <c r="AD223" s="354">
        <v>0</v>
      </c>
      <c r="AE223" s="354">
        <v>0</v>
      </c>
      <c r="AF223" s="354">
        <v>0</v>
      </c>
      <c r="AG223" s="354">
        <v>0</v>
      </c>
      <c r="AH223" s="354">
        <v>0</v>
      </c>
      <c r="AI223" s="354">
        <v>0</v>
      </c>
      <c r="AJ223" s="354">
        <v>0</v>
      </c>
      <c r="AK223" s="354">
        <v>0</v>
      </c>
      <c r="AL223" s="354">
        <v>0</v>
      </c>
      <c r="AM223" s="354">
        <v>0</v>
      </c>
      <c r="AN223" s="354">
        <v>0</v>
      </c>
      <c r="AO223" s="354">
        <v>0</v>
      </c>
      <c r="AP223" s="354">
        <v>0</v>
      </c>
      <c r="AQ223" s="354">
        <v>0</v>
      </c>
      <c r="AR223" s="354">
        <v>0</v>
      </c>
      <c r="AS223" s="354">
        <v>0</v>
      </c>
      <c r="AT223" s="354">
        <v>0</v>
      </c>
      <c r="AU223" s="354">
        <v>0</v>
      </c>
      <c r="AV223" s="354">
        <v>0</v>
      </c>
      <c r="AW223" s="354">
        <v>0</v>
      </c>
      <c r="AX223" s="354">
        <v>0</v>
      </c>
      <c r="AY223" s="354">
        <v>0</v>
      </c>
      <c r="AZ223" s="354">
        <v>0</v>
      </c>
      <c r="BA223" s="354">
        <v>0</v>
      </c>
      <c r="BB223" s="354">
        <v>0</v>
      </c>
      <c r="BC223" s="354">
        <v>0</v>
      </c>
      <c r="BD223" s="354">
        <v>0</v>
      </c>
      <c r="BE223" s="354">
        <v>0</v>
      </c>
      <c r="BF223" s="354">
        <v>0</v>
      </c>
      <c r="BG223" s="354">
        <v>0</v>
      </c>
      <c r="BH223" s="354">
        <v>0</v>
      </c>
      <c r="BI223" s="354">
        <v>0</v>
      </c>
      <c r="BJ223" s="354">
        <v>0</v>
      </c>
      <c r="BK223" s="354">
        <v>0</v>
      </c>
      <c r="BL223" s="354">
        <v>0</v>
      </c>
      <c r="BM223" s="354">
        <v>0</v>
      </c>
      <c r="BN223" s="354">
        <v>0</v>
      </c>
      <c r="BO223" s="354">
        <v>0</v>
      </c>
      <c r="BP223" s="354">
        <v>0</v>
      </c>
      <c r="BQ223" s="354">
        <v>0</v>
      </c>
      <c r="BR223" s="354">
        <v>0</v>
      </c>
      <c r="BS223" s="354">
        <v>0</v>
      </c>
      <c r="BT223" s="354">
        <v>0</v>
      </c>
      <c r="BU223" s="354">
        <v>0</v>
      </c>
      <c r="BV223" s="354">
        <v>0</v>
      </c>
      <c r="BW223" s="354">
        <v>0</v>
      </c>
      <c r="BX223" s="354">
        <v>0</v>
      </c>
      <c r="BY223" s="354">
        <v>0</v>
      </c>
      <c r="BZ223" s="354">
        <v>0</v>
      </c>
      <c r="CA223" s="354">
        <v>0</v>
      </c>
      <c r="CB223" s="354">
        <v>0</v>
      </c>
      <c r="CC223" s="354">
        <v>0</v>
      </c>
      <c r="CD223" s="354">
        <v>0</v>
      </c>
      <c r="CE223" s="354">
        <v>0</v>
      </c>
      <c r="CF223" s="354">
        <v>0</v>
      </c>
      <c r="CG223" s="354">
        <v>0</v>
      </c>
      <c r="CH223" s="354">
        <v>0</v>
      </c>
      <c r="CI223" s="354">
        <v>0</v>
      </c>
      <c r="CJ223" s="354">
        <v>0</v>
      </c>
      <c r="CK223" s="354">
        <v>0</v>
      </c>
      <c r="CL223" s="354">
        <v>0</v>
      </c>
      <c r="CM223" s="354"/>
      <c r="CN223" s="354"/>
      <c r="CO223" s="354"/>
      <c r="CP223" s="354"/>
      <c r="CQ223" s="354"/>
      <c r="CR223" s="354"/>
      <c r="CS223" s="354"/>
      <c r="CT223" s="354"/>
      <c r="CU223" s="354"/>
      <c r="CV223" s="354"/>
      <c r="CW223" s="354"/>
      <c r="CX223" s="354"/>
      <c r="CY223" s="354"/>
      <c r="CZ223" s="354"/>
      <c r="DA223" s="354"/>
      <c r="DB223" s="354"/>
      <c r="DC223" s="354"/>
      <c r="DD223" s="354"/>
      <c r="DE223" s="354"/>
      <c r="DF223" s="354"/>
      <c r="DG223" s="354"/>
      <c r="DH223" s="354"/>
      <c r="DI223" s="354"/>
      <c r="DJ223" s="354"/>
      <c r="DK223" s="354"/>
      <c r="DL223" s="354"/>
      <c r="DM223" s="354"/>
      <c r="DN223" s="354"/>
      <c r="DO223" s="354"/>
      <c r="DP223" s="354"/>
      <c r="DQ223" s="354"/>
      <c r="DR223" s="354"/>
      <c r="DS223" s="354"/>
      <c r="DT223" s="354"/>
      <c r="DU223" s="354"/>
      <c r="DV223" s="354"/>
      <c r="DW223" s="543">
        <f t="shared" si="35"/>
        <v>0</v>
      </c>
      <c r="DX223" s="858">
        <f>DW223+DW224+DW225</f>
        <v>322.46195499999999</v>
      </c>
      <c r="DY223" s="704">
        <f>+DX223*1000000</f>
        <v>322461955</v>
      </c>
      <c r="DZ223" s="870">
        <f>+DY223-D223</f>
        <v>0</v>
      </c>
      <c r="EA223" s="873" t="str">
        <f>VLOOKUP(POA!$B223,'Detalle Plan de Adquisiciones'!$G$6:$AF$66,23,0)</f>
        <v>N/A</v>
      </c>
      <c r="EB223" s="859" t="str">
        <f>VLOOKUP(POA!$B223,'Detalle Plan de Adquisiciones'!$G$6:$AF$66,25,0)</f>
        <v>N/A</v>
      </c>
      <c r="EC223" s="859" t="e">
        <f>EB223+30</f>
        <v>#VALUE!</v>
      </c>
      <c r="ED223" s="859" t="e">
        <f>CONCATENATE(MONTH(EA223),"-",YEAR(EA223))</f>
        <v>#VALUE!</v>
      </c>
      <c r="EE223" s="859" t="e">
        <f>CONCATENATE(MONTH(EB223),"-",YEAR(EB223))</f>
        <v>#VALUE!</v>
      </c>
      <c r="EF223" s="861" t="e">
        <f>CONCATENATE(MONTH(EC223),"-",YEAR(EC223))</f>
        <v>#VALUE!</v>
      </c>
      <c r="EG223" s="1105" t="e">
        <f>+YEAR(EA223)</f>
        <v>#VALUE!</v>
      </c>
      <c r="EH223" s="393">
        <f>+DY223</f>
        <v>322461955</v>
      </c>
      <c r="EI223" s="858">
        <f>+DW223+DW224+DW225</f>
        <v>322.46195499999999</v>
      </c>
      <c r="EJ223" s="877">
        <f>+D223/1000000-EI223</f>
        <v>0</v>
      </c>
      <c r="ER223" s="497"/>
    </row>
    <row r="224" spans="1:148" s="278" customFormat="1" outlineLevel="2" x14ac:dyDescent="0.2">
      <c r="A224" s="906"/>
      <c r="B224" s="886"/>
      <c r="C224" s="886"/>
      <c r="D224" s="1076"/>
      <c r="E224" s="926"/>
      <c r="F224" s="311" t="s">
        <v>210</v>
      </c>
      <c r="G224" s="363">
        <v>0</v>
      </c>
      <c r="H224" s="363">
        <v>0</v>
      </c>
      <c r="I224" s="363">
        <v>0</v>
      </c>
      <c r="J224" s="363">
        <v>0</v>
      </c>
      <c r="K224" s="363">
        <v>0</v>
      </c>
      <c r="L224" s="363">
        <v>0</v>
      </c>
      <c r="M224" s="363">
        <v>0</v>
      </c>
      <c r="N224" s="363">
        <v>0</v>
      </c>
      <c r="O224" s="363">
        <v>0</v>
      </c>
      <c r="P224" s="363">
        <v>0</v>
      </c>
      <c r="Q224" s="363">
        <v>0</v>
      </c>
      <c r="R224" s="363">
        <v>0</v>
      </c>
      <c r="S224" s="363">
        <v>0</v>
      </c>
      <c r="T224" s="363">
        <v>0</v>
      </c>
      <c r="U224" s="363">
        <v>0</v>
      </c>
      <c r="V224" s="363">
        <v>0</v>
      </c>
      <c r="W224" s="363">
        <v>0</v>
      </c>
      <c r="X224" s="363">
        <v>0</v>
      </c>
      <c r="Y224" s="363">
        <v>0</v>
      </c>
      <c r="Z224" s="363">
        <v>0</v>
      </c>
      <c r="AA224" s="363">
        <v>0</v>
      </c>
      <c r="AB224" s="363">
        <v>0</v>
      </c>
      <c r="AC224" s="363">
        <v>0</v>
      </c>
      <c r="AD224" s="363">
        <v>0</v>
      </c>
      <c r="AE224" s="363">
        <v>0</v>
      </c>
      <c r="AF224" s="363">
        <v>0</v>
      </c>
      <c r="AG224" s="363">
        <v>0</v>
      </c>
      <c r="AH224" s="363">
        <v>0</v>
      </c>
      <c r="AI224" s="363">
        <v>0</v>
      </c>
      <c r="AJ224" s="363">
        <v>0</v>
      </c>
      <c r="AK224" s="363">
        <v>0</v>
      </c>
      <c r="AL224" s="363">
        <v>0</v>
      </c>
      <c r="AM224" s="363">
        <v>0</v>
      </c>
      <c r="AN224" s="363">
        <v>0</v>
      </c>
      <c r="AO224" s="363">
        <v>0</v>
      </c>
      <c r="AP224" s="363">
        <v>0</v>
      </c>
      <c r="AQ224" s="363">
        <v>0</v>
      </c>
      <c r="AR224" s="363">
        <v>0</v>
      </c>
      <c r="AS224" s="363">
        <v>0</v>
      </c>
      <c r="AT224" s="363">
        <v>0</v>
      </c>
      <c r="AU224" s="363">
        <v>0</v>
      </c>
      <c r="AV224" s="363">
        <v>0</v>
      </c>
      <c r="AW224" s="363">
        <v>0</v>
      </c>
      <c r="AX224" s="363">
        <v>0</v>
      </c>
      <c r="AY224" s="363">
        <v>0</v>
      </c>
      <c r="AZ224" s="363">
        <v>0</v>
      </c>
      <c r="BA224" s="363">
        <v>0</v>
      </c>
      <c r="BB224" s="363">
        <v>0</v>
      </c>
      <c r="BC224" s="363">
        <v>0</v>
      </c>
      <c r="BD224" s="363">
        <v>0</v>
      </c>
      <c r="BE224" s="363">
        <v>0</v>
      </c>
      <c r="BF224" s="363">
        <v>0</v>
      </c>
      <c r="BG224" s="363">
        <v>0</v>
      </c>
      <c r="BH224" s="363">
        <v>0</v>
      </c>
      <c r="BI224" s="363">
        <v>0</v>
      </c>
      <c r="BJ224" s="363">
        <v>0</v>
      </c>
      <c r="BK224" s="363">
        <v>0</v>
      </c>
      <c r="BL224" s="363">
        <v>0</v>
      </c>
      <c r="BM224" s="363">
        <v>0</v>
      </c>
      <c r="BN224" s="363">
        <v>0</v>
      </c>
      <c r="BO224" s="363">
        <v>0</v>
      </c>
      <c r="BP224" s="363">
        <v>0</v>
      </c>
      <c r="BQ224" s="363">
        <v>0</v>
      </c>
      <c r="BR224" s="363">
        <v>0</v>
      </c>
      <c r="BS224" s="363">
        <v>0</v>
      </c>
      <c r="BT224" s="363">
        <v>0</v>
      </c>
      <c r="BU224" s="363">
        <v>0</v>
      </c>
      <c r="BV224" s="363">
        <v>0</v>
      </c>
      <c r="BW224" s="363">
        <v>0</v>
      </c>
      <c r="BX224" s="363">
        <v>0</v>
      </c>
      <c r="BY224" s="363">
        <v>0</v>
      </c>
      <c r="BZ224" s="363">
        <v>0</v>
      </c>
      <c r="CA224" s="363">
        <v>0</v>
      </c>
      <c r="CB224" s="363">
        <v>0</v>
      </c>
      <c r="CC224" s="363">
        <v>0</v>
      </c>
      <c r="CD224" s="363">
        <v>0</v>
      </c>
      <c r="CE224" s="363">
        <v>0</v>
      </c>
      <c r="CF224" s="363">
        <v>0</v>
      </c>
      <c r="CG224" s="363">
        <v>0</v>
      </c>
      <c r="CH224" s="363">
        <v>0</v>
      </c>
      <c r="CI224" s="363">
        <v>0</v>
      </c>
      <c r="CJ224" s="363">
        <v>0</v>
      </c>
      <c r="CK224" s="363">
        <v>0</v>
      </c>
      <c r="CL224" s="363">
        <v>0</v>
      </c>
      <c r="CM224" s="363"/>
      <c r="CN224" s="363"/>
      <c r="CO224" s="363"/>
      <c r="CP224" s="363"/>
      <c r="CQ224" s="363"/>
      <c r="CR224" s="363"/>
      <c r="CS224" s="363"/>
      <c r="CT224" s="363"/>
      <c r="CU224" s="363"/>
      <c r="CV224" s="363"/>
      <c r="CW224" s="363"/>
      <c r="CX224" s="363"/>
      <c r="CY224" s="363"/>
      <c r="CZ224" s="363"/>
      <c r="DA224" s="363"/>
      <c r="DB224" s="363"/>
      <c r="DC224" s="363"/>
      <c r="DD224" s="363"/>
      <c r="DE224" s="363"/>
      <c r="DF224" s="363"/>
      <c r="DG224" s="363"/>
      <c r="DH224" s="363"/>
      <c r="DI224" s="363"/>
      <c r="DJ224" s="363"/>
      <c r="DK224" s="363"/>
      <c r="DL224" s="363"/>
      <c r="DM224" s="363"/>
      <c r="DN224" s="363"/>
      <c r="DO224" s="363"/>
      <c r="DP224" s="363"/>
      <c r="DQ224" s="363"/>
      <c r="DR224" s="363"/>
      <c r="DS224" s="363"/>
      <c r="DT224" s="363"/>
      <c r="DU224" s="363"/>
      <c r="DV224" s="363"/>
      <c r="DW224" s="544">
        <f t="shared" si="35"/>
        <v>0</v>
      </c>
      <c r="DX224" s="858"/>
      <c r="DY224" s="705"/>
      <c r="DZ224" s="871"/>
      <c r="EA224" s="873"/>
      <c r="EB224" s="859"/>
      <c r="EC224" s="859"/>
      <c r="ED224" s="859"/>
      <c r="EE224" s="859"/>
      <c r="EF224" s="861"/>
      <c r="EG224" s="1106"/>
      <c r="EI224" s="858"/>
      <c r="EJ224" s="877"/>
      <c r="ER224" s="497"/>
    </row>
    <row r="225" spans="1:148" s="278" customFormat="1" ht="12.75" outlineLevel="2" thickBot="1" x14ac:dyDescent="0.25">
      <c r="A225" s="907"/>
      <c r="B225" s="908"/>
      <c r="C225" s="908"/>
      <c r="D225" s="1077"/>
      <c r="E225" s="927"/>
      <c r="F225" s="313" t="s">
        <v>211</v>
      </c>
      <c r="G225" s="387">
        <v>322.46195499999999</v>
      </c>
      <c r="H225" s="387">
        <v>0</v>
      </c>
      <c r="I225" s="387">
        <v>0</v>
      </c>
      <c r="J225" s="387">
        <v>0</v>
      </c>
      <c r="K225" s="387">
        <v>0</v>
      </c>
      <c r="L225" s="387">
        <v>0</v>
      </c>
      <c r="M225" s="387">
        <v>0</v>
      </c>
      <c r="N225" s="387">
        <v>0</v>
      </c>
      <c r="O225" s="387">
        <v>0</v>
      </c>
      <c r="P225" s="387">
        <v>0</v>
      </c>
      <c r="Q225" s="387">
        <v>0</v>
      </c>
      <c r="R225" s="387">
        <v>0</v>
      </c>
      <c r="S225" s="387">
        <v>0</v>
      </c>
      <c r="T225" s="387">
        <v>0</v>
      </c>
      <c r="U225" s="387">
        <v>0</v>
      </c>
      <c r="V225" s="387">
        <v>0</v>
      </c>
      <c r="W225" s="387">
        <v>0</v>
      </c>
      <c r="X225" s="387">
        <v>0</v>
      </c>
      <c r="Y225" s="387">
        <v>0</v>
      </c>
      <c r="Z225" s="387">
        <v>0</v>
      </c>
      <c r="AA225" s="387">
        <v>0</v>
      </c>
      <c r="AB225" s="387">
        <v>0</v>
      </c>
      <c r="AC225" s="387">
        <v>0</v>
      </c>
      <c r="AD225" s="387">
        <v>0</v>
      </c>
      <c r="AE225" s="387">
        <v>0</v>
      </c>
      <c r="AF225" s="387">
        <v>0</v>
      </c>
      <c r="AG225" s="387">
        <v>0</v>
      </c>
      <c r="AH225" s="387">
        <v>0</v>
      </c>
      <c r="AI225" s="387">
        <v>0</v>
      </c>
      <c r="AJ225" s="387">
        <v>0</v>
      </c>
      <c r="AK225" s="387">
        <v>0</v>
      </c>
      <c r="AL225" s="387">
        <v>0</v>
      </c>
      <c r="AM225" s="387">
        <v>0</v>
      </c>
      <c r="AN225" s="387">
        <v>0</v>
      </c>
      <c r="AO225" s="387">
        <v>0</v>
      </c>
      <c r="AP225" s="387">
        <v>0</v>
      </c>
      <c r="AQ225" s="387">
        <v>0</v>
      </c>
      <c r="AR225" s="387">
        <v>0</v>
      </c>
      <c r="AS225" s="387">
        <v>0</v>
      </c>
      <c r="AT225" s="387">
        <v>0</v>
      </c>
      <c r="AU225" s="387">
        <v>0</v>
      </c>
      <c r="AV225" s="387">
        <v>0</v>
      </c>
      <c r="AW225" s="387">
        <v>0</v>
      </c>
      <c r="AX225" s="387">
        <v>0</v>
      </c>
      <c r="AY225" s="387">
        <v>0</v>
      </c>
      <c r="AZ225" s="387">
        <v>0</v>
      </c>
      <c r="BA225" s="387">
        <v>0</v>
      </c>
      <c r="BB225" s="387">
        <v>0</v>
      </c>
      <c r="BC225" s="387">
        <v>0</v>
      </c>
      <c r="BD225" s="387">
        <v>0</v>
      </c>
      <c r="BE225" s="387">
        <v>0</v>
      </c>
      <c r="BF225" s="387">
        <v>0</v>
      </c>
      <c r="BG225" s="387">
        <v>0</v>
      </c>
      <c r="BH225" s="387">
        <v>0</v>
      </c>
      <c r="BI225" s="387">
        <v>0</v>
      </c>
      <c r="BJ225" s="387">
        <v>0</v>
      </c>
      <c r="BK225" s="387">
        <v>0</v>
      </c>
      <c r="BL225" s="387">
        <v>0</v>
      </c>
      <c r="BM225" s="387">
        <v>0</v>
      </c>
      <c r="BN225" s="387">
        <v>0</v>
      </c>
      <c r="BO225" s="387">
        <v>0</v>
      </c>
      <c r="BP225" s="387">
        <v>0</v>
      </c>
      <c r="BQ225" s="387">
        <v>0</v>
      </c>
      <c r="BR225" s="387">
        <v>0</v>
      </c>
      <c r="BS225" s="387">
        <v>0</v>
      </c>
      <c r="BT225" s="387">
        <v>0</v>
      </c>
      <c r="BU225" s="387">
        <v>0</v>
      </c>
      <c r="BV225" s="387">
        <v>0</v>
      </c>
      <c r="BW225" s="387">
        <v>0</v>
      </c>
      <c r="BX225" s="387">
        <v>0</v>
      </c>
      <c r="BY225" s="387">
        <v>0</v>
      </c>
      <c r="BZ225" s="387">
        <v>0</v>
      </c>
      <c r="CA225" s="387">
        <v>0</v>
      </c>
      <c r="CB225" s="387">
        <v>0</v>
      </c>
      <c r="CC225" s="387">
        <v>0</v>
      </c>
      <c r="CD225" s="387">
        <v>0</v>
      </c>
      <c r="CE225" s="387">
        <v>0</v>
      </c>
      <c r="CF225" s="387">
        <v>0</v>
      </c>
      <c r="CG225" s="387">
        <v>0</v>
      </c>
      <c r="CH225" s="387">
        <v>0</v>
      </c>
      <c r="CI225" s="387">
        <v>0</v>
      </c>
      <c r="CJ225" s="387">
        <v>0</v>
      </c>
      <c r="CK225" s="387">
        <v>0</v>
      </c>
      <c r="CL225" s="387">
        <v>0</v>
      </c>
      <c r="CM225" s="387"/>
      <c r="CN225" s="387"/>
      <c r="CO225" s="387"/>
      <c r="CP225" s="387"/>
      <c r="CQ225" s="387"/>
      <c r="CR225" s="387"/>
      <c r="CS225" s="387"/>
      <c r="CT225" s="387"/>
      <c r="CU225" s="387"/>
      <c r="CV225" s="387"/>
      <c r="CW225" s="387"/>
      <c r="CX225" s="387"/>
      <c r="CY225" s="387"/>
      <c r="CZ225" s="387"/>
      <c r="DA225" s="387"/>
      <c r="DB225" s="387"/>
      <c r="DC225" s="387"/>
      <c r="DD225" s="387"/>
      <c r="DE225" s="387"/>
      <c r="DF225" s="387"/>
      <c r="DG225" s="387"/>
      <c r="DH225" s="387"/>
      <c r="DI225" s="387"/>
      <c r="DJ225" s="387"/>
      <c r="DK225" s="387"/>
      <c r="DL225" s="387"/>
      <c r="DM225" s="387"/>
      <c r="DN225" s="387"/>
      <c r="DO225" s="387"/>
      <c r="DP225" s="387"/>
      <c r="DQ225" s="387"/>
      <c r="DR225" s="387"/>
      <c r="DS225" s="387"/>
      <c r="DT225" s="387"/>
      <c r="DU225" s="387"/>
      <c r="DV225" s="387"/>
      <c r="DW225" s="545">
        <f t="shared" si="35"/>
        <v>322.46195499999999</v>
      </c>
      <c r="DX225" s="858"/>
      <c r="DY225" s="706"/>
      <c r="DZ225" s="872"/>
      <c r="EA225" s="873"/>
      <c r="EB225" s="859"/>
      <c r="EC225" s="859"/>
      <c r="ED225" s="859"/>
      <c r="EE225" s="859"/>
      <c r="EF225" s="861"/>
      <c r="EG225" s="1107"/>
      <c r="EI225" s="858"/>
      <c r="EJ225" s="877"/>
      <c r="ER225" s="497"/>
    </row>
    <row r="226" spans="1:148" s="278" customFormat="1" ht="24" outlineLevel="2" x14ac:dyDescent="0.2">
      <c r="A226" s="905" t="s">
        <v>557</v>
      </c>
      <c r="B226" s="897">
        <v>54</v>
      </c>
      <c r="C226" s="897"/>
      <c r="D226" s="1075">
        <f>+IFERROR(VLOOKUP(B226,'Detalle Plan de Adquisiciones'!$G$6:$M$66,7,FALSE),0)</f>
        <v>527430986</v>
      </c>
      <c r="E226" s="925" t="str">
        <f>+'Detalle Plan de Adquisiciones'!F37</f>
        <v>CALLE DEL BARRIO 25 DE AGOSTO DESDE LA CALLE 41 HASTA LA CALLE 39</v>
      </c>
      <c r="F226" s="312" t="s">
        <v>410</v>
      </c>
      <c r="G226" s="354">
        <v>0</v>
      </c>
      <c r="H226" s="354">
        <v>0</v>
      </c>
      <c r="I226" s="354">
        <v>0</v>
      </c>
      <c r="J226" s="354">
        <v>0</v>
      </c>
      <c r="K226" s="354">
        <v>0</v>
      </c>
      <c r="L226" s="354">
        <v>0</v>
      </c>
      <c r="M226" s="354">
        <v>0</v>
      </c>
      <c r="N226" s="354">
        <v>0</v>
      </c>
      <c r="O226" s="354">
        <v>0</v>
      </c>
      <c r="P226" s="354">
        <v>0</v>
      </c>
      <c r="Q226" s="354">
        <v>0</v>
      </c>
      <c r="R226" s="354">
        <v>0</v>
      </c>
      <c r="S226" s="354">
        <v>0</v>
      </c>
      <c r="T226" s="354">
        <v>0</v>
      </c>
      <c r="U226" s="354">
        <v>0</v>
      </c>
      <c r="V226" s="354">
        <v>0</v>
      </c>
      <c r="W226" s="354">
        <v>0</v>
      </c>
      <c r="X226" s="354">
        <v>0</v>
      </c>
      <c r="Y226" s="354">
        <v>0</v>
      </c>
      <c r="Z226" s="354">
        <v>0</v>
      </c>
      <c r="AA226" s="354">
        <v>0</v>
      </c>
      <c r="AB226" s="354">
        <v>0</v>
      </c>
      <c r="AC226" s="354">
        <v>0</v>
      </c>
      <c r="AD226" s="354">
        <v>0</v>
      </c>
      <c r="AE226" s="354">
        <v>0</v>
      </c>
      <c r="AF226" s="354">
        <v>0</v>
      </c>
      <c r="AG226" s="354">
        <v>0</v>
      </c>
      <c r="AH226" s="354">
        <v>0</v>
      </c>
      <c r="AI226" s="354">
        <v>0</v>
      </c>
      <c r="AJ226" s="354">
        <v>0</v>
      </c>
      <c r="AK226" s="354">
        <v>0</v>
      </c>
      <c r="AL226" s="354">
        <v>0</v>
      </c>
      <c r="AM226" s="354">
        <v>0</v>
      </c>
      <c r="AN226" s="354">
        <v>0</v>
      </c>
      <c r="AO226" s="354">
        <v>0</v>
      </c>
      <c r="AP226" s="354">
        <v>0</v>
      </c>
      <c r="AQ226" s="354">
        <v>0</v>
      </c>
      <c r="AR226" s="354">
        <v>0</v>
      </c>
      <c r="AS226" s="354">
        <v>0</v>
      </c>
      <c r="AT226" s="354">
        <v>0</v>
      </c>
      <c r="AU226" s="354">
        <v>0</v>
      </c>
      <c r="AV226" s="354">
        <v>0</v>
      </c>
      <c r="AW226" s="354">
        <v>0</v>
      </c>
      <c r="AX226" s="354">
        <v>0</v>
      </c>
      <c r="AY226" s="354">
        <v>0</v>
      </c>
      <c r="AZ226" s="354">
        <v>0</v>
      </c>
      <c r="BA226" s="354">
        <v>0</v>
      </c>
      <c r="BB226" s="354">
        <v>0</v>
      </c>
      <c r="BC226" s="354">
        <v>0</v>
      </c>
      <c r="BD226" s="354">
        <v>0</v>
      </c>
      <c r="BE226" s="354">
        <v>0</v>
      </c>
      <c r="BF226" s="354">
        <v>0</v>
      </c>
      <c r="BG226" s="354">
        <v>0</v>
      </c>
      <c r="BH226" s="354">
        <v>0</v>
      </c>
      <c r="BI226" s="354">
        <v>0</v>
      </c>
      <c r="BJ226" s="354">
        <v>0</v>
      </c>
      <c r="BK226" s="354">
        <v>0</v>
      </c>
      <c r="BL226" s="354">
        <v>0</v>
      </c>
      <c r="BM226" s="354">
        <v>0</v>
      </c>
      <c r="BN226" s="354">
        <v>0</v>
      </c>
      <c r="BO226" s="354">
        <v>0</v>
      </c>
      <c r="BP226" s="354">
        <v>0</v>
      </c>
      <c r="BQ226" s="354">
        <v>0</v>
      </c>
      <c r="BR226" s="354">
        <v>0</v>
      </c>
      <c r="BS226" s="354">
        <v>0</v>
      </c>
      <c r="BT226" s="354">
        <v>0</v>
      </c>
      <c r="BU226" s="354">
        <v>0</v>
      </c>
      <c r="BV226" s="354">
        <v>0</v>
      </c>
      <c r="BW226" s="354">
        <v>0</v>
      </c>
      <c r="BX226" s="354">
        <v>0</v>
      </c>
      <c r="BY226" s="354">
        <v>0</v>
      </c>
      <c r="BZ226" s="354">
        <v>0</v>
      </c>
      <c r="CA226" s="354">
        <v>0</v>
      </c>
      <c r="CB226" s="354">
        <v>0</v>
      </c>
      <c r="CC226" s="354">
        <v>0</v>
      </c>
      <c r="CD226" s="354">
        <v>0</v>
      </c>
      <c r="CE226" s="354">
        <v>0</v>
      </c>
      <c r="CF226" s="354">
        <v>0</v>
      </c>
      <c r="CG226" s="354">
        <v>0</v>
      </c>
      <c r="CH226" s="354">
        <v>0</v>
      </c>
      <c r="CI226" s="354">
        <v>0</v>
      </c>
      <c r="CJ226" s="354">
        <v>0</v>
      </c>
      <c r="CK226" s="354">
        <v>0</v>
      </c>
      <c r="CL226" s="354">
        <v>0</v>
      </c>
      <c r="CM226" s="354"/>
      <c r="CN226" s="354"/>
      <c r="CO226" s="354"/>
      <c r="CP226" s="354"/>
      <c r="CQ226" s="354"/>
      <c r="CR226" s="354"/>
      <c r="CS226" s="354"/>
      <c r="CT226" s="354"/>
      <c r="CU226" s="354"/>
      <c r="CV226" s="354"/>
      <c r="CW226" s="354"/>
      <c r="CX226" s="354"/>
      <c r="CY226" s="354"/>
      <c r="CZ226" s="354"/>
      <c r="DA226" s="354"/>
      <c r="DB226" s="354"/>
      <c r="DC226" s="354"/>
      <c r="DD226" s="354"/>
      <c r="DE226" s="354"/>
      <c r="DF226" s="354"/>
      <c r="DG226" s="354"/>
      <c r="DH226" s="354"/>
      <c r="DI226" s="354"/>
      <c r="DJ226" s="354"/>
      <c r="DK226" s="354"/>
      <c r="DL226" s="354"/>
      <c r="DM226" s="354"/>
      <c r="DN226" s="354"/>
      <c r="DO226" s="354"/>
      <c r="DP226" s="354"/>
      <c r="DQ226" s="354"/>
      <c r="DR226" s="354"/>
      <c r="DS226" s="354"/>
      <c r="DT226" s="354"/>
      <c r="DU226" s="354"/>
      <c r="DV226" s="354"/>
      <c r="DW226" s="543">
        <f t="shared" si="35"/>
        <v>0</v>
      </c>
      <c r="DX226" s="858">
        <f>DW226+DW227+DW228</f>
        <v>527.43098599999996</v>
      </c>
      <c r="DY226" s="704">
        <f>+DX226*1000000</f>
        <v>527430985.99999994</v>
      </c>
      <c r="DZ226" s="870">
        <f>+DY226-D226</f>
        <v>0</v>
      </c>
      <c r="EA226" s="873" t="str">
        <f>VLOOKUP(POA!$B226,'Detalle Plan de Adquisiciones'!$G$6:$AF$66,23,0)</f>
        <v>N/A</v>
      </c>
      <c r="EB226" s="859" t="str">
        <f>VLOOKUP(POA!$B226,'Detalle Plan de Adquisiciones'!$G$6:$AF$66,25,0)</f>
        <v>N/A</v>
      </c>
      <c r="EC226" s="859" t="e">
        <f>EB226+30</f>
        <v>#VALUE!</v>
      </c>
      <c r="ED226" s="859" t="e">
        <f>CONCATENATE(MONTH(EA226),"-",YEAR(EA226))</f>
        <v>#VALUE!</v>
      </c>
      <c r="EE226" s="859" t="e">
        <f>CONCATENATE(MONTH(EB226),"-",YEAR(EB226))</f>
        <v>#VALUE!</v>
      </c>
      <c r="EF226" s="861" t="e">
        <f>CONCATENATE(MONTH(EC226),"-",YEAR(EC226))</f>
        <v>#VALUE!</v>
      </c>
      <c r="EG226" s="1105" t="e">
        <f>+YEAR(EA226)</f>
        <v>#VALUE!</v>
      </c>
      <c r="EH226" s="393">
        <f>+DY226</f>
        <v>527430985.99999994</v>
      </c>
      <c r="EI226" s="858">
        <f>+DW226+DW227+DW228</f>
        <v>527.43098599999996</v>
      </c>
      <c r="EJ226" s="877">
        <f>+D226/1000000-EI226</f>
        <v>0</v>
      </c>
      <c r="ER226" s="497"/>
    </row>
    <row r="227" spans="1:148" s="278" customFormat="1" outlineLevel="2" x14ac:dyDescent="0.2">
      <c r="A227" s="906"/>
      <c r="B227" s="886"/>
      <c r="C227" s="886"/>
      <c r="D227" s="1076"/>
      <c r="E227" s="926"/>
      <c r="F227" s="311" t="s">
        <v>210</v>
      </c>
      <c r="G227" s="363">
        <v>0</v>
      </c>
      <c r="H227" s="363">
        <v>0</v>
      </c>
      <c r="I227" s="363">
        <v>0</v>
      </c>
      <c r="J227" s="363">
        <v>0</v>
      </c>
      <c r="K227" s="363">
        <v>0</v>
      </c>
      <c r="L227" s="363">
        <v>0</v>
      </c>
      <c r="M227" s="363">
        <v>0</v>
      </c>
      <c r="N227" s="363">
        <v>0</v>
      </c>
      <c r="O227" s="363">
        <v>0</v>
      </c>
      <c r="P227" s="363">
        <v>0</v>
      </c>
      <c r="Q227" s="363">
        <v>0</v>
      </c>
      <c r="R227" s="363">
        <v>0</v>
      </c>
      <c r="S227" s="363">
        <v>0</v>
      </c>
      <c r="T227" s="363">
        <v>0</v>
      </c>
      <c r="U227" s="363">
        <v>0</v>
      </c>
      <c r="V227" s="363">
        <v>0</v>
      </c>
      <c r="W227" s="363">
        <v>0</v>
      </c>
      <c r="X227" s="363">
        <v>0</v>
      </c>
      <c r="Y227" s="363">
        <v>0</v>
      </c>
      <c r="Z227" s="363">
        <v>0</v>
      </c>
      <c r="AA227" s="363">
        <v>0</v>
      </c>
      <c r="AB227" s="363">
        <v>0</v>
      </c>
      <c r="AC227" s="363">
        <v>0</v>
      </c>
      <c r="AD227" s="363">
        <v>0</v>
      </c>
      <c r="AE227" s="363">
        <v>0</v>
      </c>
      <c r="AF227" s="363">
        <v>0</v>
      </c>
      <c r="AG227" s="363">
        <v>0</v>
      </c>
      <c r="AH227" s="363">
        <v>0</v>
      </c>
      <c r="AI227" s="363">
        <v>0</v>
      </c>
      <c r="AJ227" s="363">
        <v>0</v>
      </c>
      <c r="AK227" s="363">
        <v>0</v>
      </c>
      <c r="AL227" s="363">
        <v>0</v>
      </c>
      <c r="AM227" s="363">
        <v>0</v>
      </c>
      <c r="AN227" s="363">
        <v>0</v>
      </c>
      <c r="AO227" s="363">
        <v>0</v>
      </c>
      <c r="AP227" s="363">
        <v>0</v>
      </c>
      <c r="AQ227" s="363">
        <v>0</v>
      </c>
      <c r="AR227" s="363">
        <v>0</v>
      </c>
      <c r="AS227" s="363">
        <v>0</v>
      </c>
      <c r="AT227" s="363">
        <v>0</v>
      </c>
      <c r="AU227" s="363">
        <v>0</v>
      </c>
      <c r="AV227" s="363">
        <v>0</v>
      </c>
      <c r="AW227" s="363">
        <v>0</v>
      </c>
      <c r="AX227" s="363">
        <v>0</v>
      </c>
      <c r="AY227" s="363">
        <v>0</v>
      </c>
      <c r="AZ227" s="363">
        <v>0</v>
      </c>
      <c r="BA227" s="363">
        <v>0</v>
      </c>
      <c r="BB227" s="363">
        <v>0</v>
      </c>
      <c r="BC227" s="363">
        <v>0</v>
      </c>
      <c r="BD227" s="363">
        <v>0</v>
      </c>
      <c r="BE227" s="363">
        <v>0</v>
      </c>
      <c r="BF227" s="363">
        <v>0</v>
      </c>
      <c r="BG227" s="363">
        <v>0</v>
      </c>
      <c r="BH227" s="363">
        <v>0</v>
      </c>
      <c r="BI227" s="363">
        <v>0</v>
      </c>
      <c r="BJ227" s="363">
        <v>0</v>
      </c>
      <c r="BK227" s="363">
        <v>0</v>
      </c>
      <c r="BL227" s="363">
        <v>0</v>
      </c>
      <c r="BM227" s="363">
        <v>0</v>
      </c>
      <c r="BN227" s="363">
        <v>0</v>
      </c>
      <c r="BO227" s="363">
        <v>0</v>
      </c>
      <c r="BP227" s="363">
        <v>0</v>
      </c>
      <c r="BQ227" s="363">
        <v>0</v>
      </c>
      <c r="BR227" s="363">
        <v>0</v>
      </c>
      <c r="BS227" s="363">
        <v>0</v>
      </c>
      <c r="BT227" s="363">
        <v>0</v>
      </c>
      <c r="BU227" s="363">
        <v>0</v>
      </c>
      <c r="BV227" s="363">
        <v>0</v>
      </c>
      <c r="BW227" s="363">
        <v>0</v>
      </c>
      <c r="BX227" s="363">
        <v>0</v>
      </c>
      <c r="BY227" s="363">
        <v>0</v>
      </c>
      <c r="BZ227" s="363">
        <v>0</v>
      </c>
      <c r="CA227" s="363">
        <v>0</v>
      </c>
      <c r="CB227" s="363">
        <v>0</v>
      </c>
      <c r="CC227" s="363">
        <v>0</v>
      </c>
      <c r="CD227" s="363">
        <v>0</v>
      </c>
      <c r="CE227" s="363">
        <v>0</v>
      </c>
      <c r="CF227" s="363">
        <v>0</v>
      </c>
      <c r="CG227" s="363">
        <v>0</v>
      </c>
      <c r="CH227" s="363">
        <v>0</v>
      </c>
      <c r="CI227" s="363">
        <v>0</v>
      </c>
      <c r="CJ227" s="363">
        <v>0</v>
      </c>
      <c r="CK227" s="363">
        <v>0</v>
      </c>
      <c r="CL227" s="363">
        <v>0</v>
      </c>
      <c r="CM227" s="363"/>
      <c r="CN227" s="363"/>
      <c r="CO227" s="363"/>
      <c r="CP227" s="363"/>
      <c r="CQ227" s="363"/>
      <c r="CR227" s="363"/>
      <c r="CS227" s="363"/>
      <c r="CT227" s="363"/>
      <c r="CU227" s="363"/>
      <c r="CV227" s="363"/>
      <c r="CW227" s="363"/>
      <c r="CX227" s="363"/>
      <c r="CY227" s="363"/>
      <c r="CZ227" s="363"/>
      <c r="DA227" s="363"/>
      <c r="DB227" s="363"/>
      <c r="DC227" s="363"/>
      <c r="DD227" s="363"/>
      <c r="DE227" s="363"/>
      <c r="DF227" s="363"/>
      <c r="DG227" s="363"/>
      <c r="DH227" s="363"/>
      <c r="DI227" s="363"/>
      <c r="DJ227" s="363"/>
      <c r="DK227" s="363"/>
      <c r="DL227" s="363"/>
      <c r="DM227" s="363"/>
      <c r="DN227" s="363"/>
      <c r="DO227" s="363"/>
      <c r="DP227" s="363"/>
      <c r="DQ227" s="363"/>
      <c r="DR227" s="363"/>
      <c r="DS227" s="363"/>
      <c r="DT227" s="363"/>
      <c r="DU227" s="363"/>
      <c r="DV227" s="363"/>
      <c r="DW227" s="544">
        <f t="shared" si="35"/>
        <v>0</v>
      </c>
      <c r="DX227" s="858"/>
      <c r="DY227" s="705"/>
      <c r="DZ227" s="871"/>
      <c r="EA227" s="873"/>
      <c r="EB227" s="859"/>
      <c r="EC227" s="859"/>
      <c r="ED227" s="859"/>
      <c r="EE227" s="859"/>
      <c r="EF227" s="861"/>
      <c r="EG227" s="1106"/>
      <c r="EI227" s="858"/>
      <c r="EJ227" s="877"/>
      <c r="ER227" s="497"/>
    </row>
    <row r="228" spans="1:148" s="278" customFormat="1" ht="12.75" outlineLevel="2" thickBot="1" x14ac:dyDescent="0.25">
      <c r="A228" s="907"/>
      <c r="B228" s="908"/>
      <c r="C228" s="908"/>
      <c r="D228" s="1077"/>
      <c r="E228" s="927"/>
      <c r="F228" s="313" t="s">
        <v>211</v>
      </c>
      <c r="G228" s="387">
        <v>0</v>
      </c>
      <c r="H228" s="387">
        <v>527.43098599999996</v>
      </c>
      <c r="I228" s="387">
        <v>0</v>
      </c>
      <c r="J228" s="387">
        <v>0</v>
      </c>
      <c r="K228" s="387">
        <v>0</v>
      </c>
      <c r="L228" s="387">
        <v>0</v>
      </c>
      <c r="M228" s="387">
        <v>0</v>
      </c>
      <c r="N228" s="387">
        <v>0</v>
      </c>
      <c r="O228" s="387">
        <v>0</v>
      </c>
      <c r="P228" s="387">
        <v>0</v>
      </c>
      <c r="Q228" s="387">
        <v>0</v>
      </c>
      <c r="R228" s="387">
        <v>0</v>
      </c>
      <c r="S228" s="387">
        <v>0</v>
      </c>
      <c r="T228" s="387">
        <v>0</v>
      </c>
      <c r="U228" s="387">
        <v>0</v>
      </c>
      <c r="V228" s="387">
        <v>0</v>
      </c>
      <c r="W228" s="387">
        <v>0</v>
      </c>
      <c r="X228" s="387">
        <v>0</v>
      </c>
      <c r="Y228" s="387">
        <v>0</v>
      </c>
      <c r="Z228" s="387">
        <v>0</v>
      </c>
      <c r="AA228" s="387">
        <v>0</v>
      </c>
      <c r="AB228" s="387">
        <v>0</v>
      </c>
      <c r="AC228" s="387">
        <v>0</v>
      </c>
      <c r="AD228" s="387">
        <v>0</v>
      </c>
      <c r="AE228" s="387">
        <v>0</v>
      </c>
      <c r="AF228" s="387">
        <v>0</v>
      </c>
      <c r="AG228" s="387">
        <v>0</v>
      </c>
      <c r="AH228" s="387">
        <v>0</v>
      </c>
      <c r="AI228" s="387">
        <v>0</v>
      </c>
      <c r="AJ228" s="387">
        <v>0</v>
      </c>
      <c r="AK228" s="387">
        <v>0</v>
      </c>
      <c r="AL228" s="387">
        <v>0</v>
      </c>
      <c r="AM228" s="387">
        <v>0</v>
      </c>
      <c r="AN228" s="387">
        <v>0</v>
      </c>
      <c r="AO228" s="387">
        <v>0</v>
      </c>
      <c r="AP228" s="387">
        <v>0</v>
      </c>
      <c r="AQ228" s="387">
        <v>0</v>
      </c>
      <c r="AR228" s="387">
        <v>0</v>
      </c>
      <c r="AS228" s="387">
        <v>0</v>
      </c>
      <c r="AT228" s="387">
        <v>0</v>
      </c>
      <c r="AU228" s="387">
        <v>0</v>
      </c>
      <c r="AV228" s="387">
        <v>0</v>
      </c>
      <c r="AW228" s="387">
        <v>0</v>
      </c>
      <c r="AX228" s="387">
        <v>0</v>
      </c>
      <c r="AY228" s="387">
        <v>0</v>
      </c>
      <c r="AZ228" s="387">
        <v>0</v>
      </c>
      <c r="BA228" s="387">
        <v>0</v>
      </c>
      <c r="BB228" s="387">
        <v>0</v>
      </c>
      <c r="BC228" s="387">
        <v>0</v>
      </c>
      <c r="BD228" s="387">
        <v>0</v>
      </c>
      <c r="BE228" s="387">
        <v>0</v>
      </c>
      <c r="BF228" s="387">
        <v>0</v>
      </c>
      <c r="BG228" s="387">
        <v>0</v>
      </c>
      <c r="BH228" s="387">
        <v>0</v>
      </c>
      <c r="BI228" s="387">
        <v>0</v>
      </c>
      <c r="BJ228" s="387">
        <v>0</v>
      </c>
      <c r="BK228" s="387">
        <v>0</v>
      </c>
      <c r="BL228" s="387">
        <v>0</v>
      </c>
      <c r="BM228" s="387">
        <v>0</v>
      </c>
      <c r="BN228" s="387">
        <v>0</v>
      </c>
      <c r="BO228" s="387">
        <v>0</v>
      </c>
      <c r="BP228" s="387">
        <v>0</v>
      </c>
      <c r="BQ228" s="387">
        <v>0</v>
      </c>
      <c r="BR228" s="387">
        <v>0</v>
      </c>
      <c r="BS228" s="387">
        <v>0</v>
      </c>
      <c r="BT228" s="387">
        <v>0</v>
      </c>
      <c r="BU228" s="387">
        <v>0</v>
      </c>
      <c r="BV228" s="387">
        <v>0</v>
      </c>
      <c r="BW228" s="387">
        <v>0</v>
      </c>
      <c r="BX228" s="387">
        <v>0</v>
      </c>
      <c r="BY228" s="387">
        <v>0</v>
      </c>
      <c r="BZ228" s="387">
        <v>0</v>
      </c>
      <c r="CA228" s="387">
        <v>0</v>
      </c>
      <c r="CB228" s="387">
        <v>0</v>
      </c>
      <c r="CC228" s="387">
        <v>0</v>
      </c>
      <c r="CD228" s="387">
        <v>0</v>
      </c>
      <c r="CE228" s="387">
        <v>0</v>
      </c>
      <c r="CF228" s="387">
        <v>0</v>
      </c>
      <c r="CG228" s="387">
        <v>0</v>
      </c>
      <c r="CH228" s="387">
        <v>0</v>
      </c>
      <c r="CI228" s="387">
        <v>0</v>
      </c>
      <c r="CJ228" s="387">
        <v>0</v>
      </c>
      <c r="CK228" s="387">
        <v>0</v>
      </c>
      <c r="CL228" s="387">
        <v>0</v>
      </c>
      <c r="CM228" s="387"/>
      <c r="CN228" s="387"/>
      <c r="CO228" s="387"/>
      <c r="CP228" s="387"/>
      <c r="CQ228" s="387"/>
      <c r="CR228" s="387"/>
      <c r="CS228" s="387"/>
      <c r="CT228" s="387"/>
      <c r="CU228" s="387"/>
      <c r="CV228" s="387"/>
      <c r="CW228" s="387"/>
      <c r="CX228" s="387"/>
      <c r="CY228" s="387"/>
      <c r="CZ228" s="387"/>
      <c r="DA228" s="387"/>
      <c r="DB228" s="387"/>
      <c r="DC228" s="387"/>
      <c r="DD228" s="387"/>
      <c r="DE228" s="387"/>
      <c r="DF228" s="387"/>
      <c r="DG228" s="387"/>
      <c r="DH228" s="387"/>
      <c r="DI228" s="387"/>
      <c r="DJ228" s="387"/>
      <c r="DK228" s="387"/>
      <c r="DL228" s="387"/>
      <c r="DM228" s="387"/>
      <c r="DN228" s="387"/>
      <c r="DO228" s="387"/>
      <c r="DP228" s="387"/>
      <c r="DQ228" s="387"/>
      <c r="DR228" s="387"/>
      <c r="DS228" s="387"/>
      <c r="DT228" s="387"/>
      <c r="DU228" s="387"/>
      <c r="DV228" s="387"/>
      <c r="DW228" s="545">
        <f t="shared" si="35"/>
        <v>527.43098599999996</v>
      </c>
      <c r="DX228" s="858"/>
      <c r="DY228" s="706"/>
      <c r="DZ228" s="872"/>
      <c r="EA228" s="873"/>
      <c r="EB228" s="859"/>
      <c r="EC228" s="859"/>
      <c r="ED228" s="859"/>
      <c r="EE228" s="859"/>
      <c r="EF228" s="861"/>
      <c r="EG228" s="1107"/>
      <c r="EI228" s="858"/>
      <c r="EJ228" s="877"/>
      <c r="ER228" s="497"/>
    </row>
    <row r="229" spans="1:148" s="278" customFormat="1" ht="24" outlineLevel="2" x14ac:dyDescent="0.2">
      <c r="A229" s="905" t="s">
        <v>557</v>
      </c>
      <c r="B229" s="897">
        <v>120</v>
      </c>
      <c r="C229" s="897"/>
      <c r="D229" s="1075">
        <f>+IFERROR(VLOOKUP(B229,'Detalle Plan de Adquisiciones'!$G$6:$M$66,7,FALSE),0)</f>
        <v>946868429</v>
      </c>
      <c r="E229" s="925" t="str">
        <f>+'Detalle Plan de Adquisiciones'!F38</f>
        <v>DIAGONAL 8 F ENTRE LA DIAGONAL 4 Y CALLE 6B SUR (BARRIO ALFONSO LÓPEZ)</v>
      </c>
      <c r="F229" s="312" t="s">
        <v>410</v>
      </c>
      <c r="G229" s="354">
        <v>0</v>
      </c>
      <c r="H229" s="354">
        <v>0</v>
      </c>
      <c r="I229" s="354">
        <v>0</v>
      </c>
      <c r="J229" s="354">
        <v>0</v>
      </c>
      <c r="K229" s="354">
        <v>0</v>
      </c>
      <c r="L229" s="354">
        <v>0</v>
      </c>
      <c r="M229" s="354">
        <v>0</v>
      </c>
      <c r="N229" s="354">
        <v>0</v>
      </c>
      <c r="O229" s="354">
        <v>0</v>
      </c>
      <c r="P229" s="354">
        <v>0</v>
      </c>
      <c r="Q229" s="354">
        <v>0</v>
      </c>
      <c r="R229" s="354">
        <v>0</v>
      </c>
      <c r="S229" s="354">
        <v>0</v>
      </c>
      <c r="T229" s="354">
        <v>0</v>
      </c>
      <c r="U229" s="354">
        <v>0</v>
      </c>
      <c r="V229" s="354">
        <v>0</v>
      </c>
      <c r="W229" s="354">
        <v>0</v>
      </c>
      <c r="X229" s="354">
        <v>0</v>
      </c>
      <c r="Y229" s="354">
        <v>0</v>
      </c>
      <c r="Z229" s="354">
        <v>0</v>
      </c>
      <c r="AA229" s="354">
        <v>0</v>
      </c>
      <c r="AB229" s="354">
        <v>0</v>
      </c>
      <c r="AC229" s="354">
        <v>0</v>
      </c>
      <c r="AD229" s="354">
        <v>0</v>
      </c>
      <c r="AE229" s="354">
        <v>0</v>
      </c>
      <c r="AF229" s="354">
        <v>0</v>
      </c>
      <c r="AG229" s="354">
        <v>0</v>
      </c>
      <c r="AH229" s="354">
        <v>0</v>
      </c>
      <c r="AI229" s="354">
        <v>0</v>
      </c>
      <c r="AJ229" s="354">
        <v>0</v>
      </c>
      <c r="AK229" s="354">
        <v>0</v>
      </c>
      <c r="AL229" s="354">
        <v>0</v>
      </c>
      <c r="AM229" s="354">
        <v>0</v>
      </c>
      <c r="AN229" s="354">
        <v>0</v>
      </c>
      <c r="AO229" s="354">
        <v>0</v>
      </c>
      <c r="AP229" s="354">
        <v>0</v>
      </c>
      <c r="AQ229" s="354">
        <v>0</v>
      </c>
      <c r="AR229" s="354">
        <v>0</v>
      </c>
      <c r="AS229" s="354">
        <v>0</v>
      </c>
      <c r="AT229" s="354">
        <v>0</v>
      </c>
      <c r="AU229" s="354">
        <v>0</v>
      </c>
      <c r="AV229" s="354">
        <v>0</v>
      </c>
      <c r="AW229" s="354">
        <v>0</v>
      </c>
      <c r="AX229" s="354">
        <v>0</v>
      </c>
      <c r="AY229" s="354">
        <v>0</v>
      </c>
      <c r="AZ229" s="354">
        <v>0</v>
      </c>
      <c r="BA229" s="354">
        <v>0</v>
      </c>
      <c r="BB229" s="354">
        <v>0</v>
      </c>
      <c r="BC229" s="354">
        <v>0</v>
      </c>
      <c r="BD229" s="354">
        <v>0</v>
      </c>
      <c r="BE229" s="354">
        <v>0</v>
      </c>
      <c r="BF229" s="354">
        <v>0</v>
      </c>
      <c r="BG229" s="354">
        <v>0</v>
      </c>
      <c r="BH229" s="354">
        <v>0</v>
      </c>
      <c r="BI229" s="354">
        <v>0</v>
      </c>
      <c r="BJ229" s="354">
        <v>0</v>
      </c>
      <c r="BK229" s="354">
        <v>0</v>
      </c>
      <c r="BL229" s="354">
        <v>0</v>
      </c>
      <c r="BM229" s="354">
        <v>0</v>
      </c>
      <c r="BN229" s="354">
        <v>0</v>
      </c>
      <c r="BO229" s="354">
        <v>0</v>
      </c>
      <c r="BP229" s="354">
        <v>0</v>
      </c>
      <c r="BQ229" s="354">
        <v>0</v>
      </c>
      <c r="BR229" s="354">
        <v>0</v>
      </c>
      <c r="BS229" s="354">
        <v>0</v>
      </c>
      <c r="BT229" s="354">
        <v>0</v>
      </c>
      <c r="BU229" s="354">
        <v>0</v>
      </c>
      <c r="BV229" s="354">
        <v>0</v>
      </c>
      <c r="BW229" s="354">
        <v>0</v>
      </c>
      <c r="BX229" s="354">
        <v>0</v>
      </c>
      <c r="BY229" s="354">
        <v>0</v>
      </c>
      <c r="BZ229" s="354">
        <v>0</v>
      </c>
      <c r="CA229" s="354">
        <v>0</v>
      </c>
      <c r="CB229" s="354">
        <v>0</v>
      </c>
      <c r="CC229" s="354">
        <v>0</v>
      </c>
      <c r="CD229" s="354">
        <v>0</v>
      </c>
      <c r="CE229" s="354">
        <v>0</v>
      </c>
      <c r="CF229" s="354">
        <v>0</v>
      </c>
      <c r="CG229" s="354">
        <v>0</v>
      </c>
      <c r="CH229" s="354">
        <v>0</v>
      </c>
      <c r="CI229" s="354">
        <v>0</v>
      </c>
      <c r="CJ229" s="354">
        <v>0</v>
      </c>
      <c r="CK229" s="354">
        <v>0</v>
      </c>
      <c r="CL229" s="354">
        <v>0</v>
      </c>
      <c r="CM229" s="354"/>
      <c r="CN229" s="354"/>
      <c r="CO229" s="354"/>
      <c r="CP229" s="354"/>
      <c r="CQ229" s="354"/>
      <c r="CR229" s="354"/>
      <c r="CS229" s="354"/>
      <c r="CT229" s="354"/>
      <c r="CU229" s="354"/>
      <c r="CV229" s="354"/>
      <c r="CW229" s="354"/>
      <c r="CX229" s="354"/>
      <c r="CY229" s="354"/>
      <c r="CZ229" s="354"/>
      <c r="DA229" s="354"/>
      <c r="DB229" s="354"/>
      <c r="DC229" s="354"/>
      <c r="DD229" s="354"/>
      <c r="DE229" s="354"/>
      <c r="DF229" s="354"/>
      <c r="DG229" s="354"/>
      <c r="DH229" s="354"/>
      <c r="DI229" s="354"/>
      <c r="DJ229" s="354"/>
      <c r="DK229" s="354"/>
      <c r="DL229" s="354"/>
      <c r="DM229" s="354"/>
      <c r="DN229" s="354"/>
      <c r="DO229" s="354"/>
      <c r="DP229" s="354"/>
      <c r="DQ229" s="354"/>
      <c r="DR229" s="354"/>
      <c r="DS229" s="354"/>
      <c r="DT229" s="354"/>
      <c r="DU229" s="354"/>
      <c r="DV229" s="354"/>
      <c r="DW229" s="543">
        <f t="shared" si="35"/>
        <v>0</v>
      </c>
      <c r="DX229" s="858">
        <f>DW229+DW230+DW231</f>
        <v>946.86842899999999</v>
      </c>
      <c r="DY229" s="704">
        <f>+DX229*1000000</f>
        <v>946868429</v>
      </c>
      <c r="DZ229" s="870">
        <f>+DY229-D229</f>
        <v>0</v>
      </c>
      <c r="EA229" s="873" t="str">
        <f>VLOOKUP(POA!$B229,'Detalle Plan de Adquisiciones'!$G$6:$AF$66,23,0)</f>
        <v>N/A</v>
      </c>
      <c r="EB229" s="859" t="str">
        <f>VLOOKUP(POA!$B229,'Detalle Plan de Adquisiciones'!$G$6:$AF$66,25,0)</f>
        <v>N/A</v>
      </c>
      <c r="EC229" s="859" t="e">
        <f>EB229+30</f>
        <v>#VALUE!</v>
      </c>
      <c r="ED229" s="859" t="e">
        <f>CONCATENATE(MONTH(EA229),"-",YEAR(EA229))</f>
        <v>#VALUE!</v>
      </c>
      <c r="EE229" s="859" t="e">
        <f>CONCATENATE(MONTH(EB229),"-",YEAR(EB229))</f>
        <v>#VALUE!</v>
      </c>
      <c r="EF229" s="861" t="e">
        <f>CONCATENATE(MONTH(EC229),"-",YEAR(EC229))</f>
        <v>#VALUE!</v>
      </c>
      <c r="EG229" s="1105" t="e">
        <f>+YEAR(EA229)</f>
        <v>#VALUE!</v>
      </c>
      <c r="EH229" s="393">
        <f>+DY229</f>
        <v>946868429</v>
      </c>
      <c r="EI229" s="858">
        <f>+DW229+DW230+DW231</f>
        <v>946.86842899999999</v>
      </c>
      <c r="EJ229" s="877">
        <f>+D229/1000000-EI229</f>
        <v>0</v>
      </c>
      <c r="ER229" s="497"/>
    </row>
    <row r="230" spans="1:148" s="278" customFormat="1" outlineLevel="2" x14ac:dyDescent="0.2">
      <c r="A230" s="906"/>
      <c r="B230" s="886"/>
      <c r="C230" s="886"/>
      <c r="D230" s="1076"/>
      <c r="E230" s="926"/>
      <c r="F230" s="311" t="s">
        <v>210</v>
      </c>
      <c r="G230" s="363">
        <v>0</v>
      </c>
      <c r="H230" s="363">
        <v>0</v>
      </c>
      <c r="I230" s="363">
        <v>0</v>
      </c>
      <c r="J230" s="363">
        <v>0</v>
      </c>
      <c r="K230" s="363">
        <v>0</v>
      </c>
      <c r="L230" s="363">
        <v>0</v>
      </c>
      <c r="M230" s="363">
        <v>0</v>
      </c>
      <c r="N230" s="363">
        <v>0</v>
      </c>
      <c r="O230" s="363">
        <v>0</v>
      </c>
      <c r="P230" s="363">
        <v>0</v>
      </c>
      <c r="Q230" s="363">
        <v>0</v>
      </c>
      <c r="R230" s="363">
        <v>0</v>
      </c>
      <c r="S230" s="363">
        <v>0</v>
      </c>
      <c r="T230" s="363">
        <v>0</v>
      </c>
      <c r="U230" s="363">
        <v>0</v>
      </c>
      <c r="V230" s="363">
        <v>0</v>
      </c>
      <c r="W230" s="363">
        <v>0</v>
      </c>
      <c r="X230" s="363">
        <v>0</v>
      </c>
      <c r="Y230" s="363">
        <v>0</v>
      </c>
      <c r="Z230" s="363">
        <v>0</v>
      </c>
      <c r="AA230" s="363">
        <v>0</v>
      </c>
      <c r="AB230" s="363">
        <v>0</v>
      </c>
      <c r="AC230" s="363">
        <v>0</v>
      </c>
      <c r="AD230" s="363">
        <v>0</v>
      </c>
      <c r="AE230" s="363">
        <v>0</v>
      </c>
      <c r="AF230" s="363">
        <v>0</v>
      </c>
      <c r="AG230" s="363">
        <v>0</v>
      </c>
      <c r="AH230" s="363">
        <v>0</v>
      </c>
      <c r="AI230" s="363">
        <v>0</v>
      </c>
      <c r="AJ230" s="363">
        <v>0</v>
      </c>
      <c r="AK230" s="363">
        <v>0</v>
      </c>
      <c r="AL230" s="363">
        <v>0</v>
      </c>
      <c r="AM230" s="363">
        <v>0</v>
      </c>
      <c r="AN230" s="363">
        <v>0</v>
      </c>
      <c r="AO230" s="363">
        <v>0</v>
      </c>
      <c r="AP230" s="363">
        <v>0</v>
      </c>
      <c r="AQ230" s="363">
        <v>0</v>
      </c>
      <c r="AR230" s="363">
        <v>0</v>
      </c>
      <c r="AS230" s="363">
        <v>0</v>
      </c>
      <c r="AT230" s="363">
        <v>0</v>
      </c>
      <c r="AU230" s="363">
        <v>0</v>
      </c>
      <c r="AV230" s="363">
        <v>0</v>
      </c>
      <c r="AW230" s="363">
        <v>0</v>
      </c>
      <c r="AX230" s="363">
        <v>0</v>
      </c>
      <c r="AY230" s="363">
        <v>0</v>
      </c>
      <c r="AZ230" s="363">
        <v>0</v>
      </c>
      <c r="BA230" s="363">
        <v>0</v>
      </c>
      <c r="BB230" s="363">
        <v>0</v>
      </c>
      <c r="BC230" s="363">
        <v>0</v>
      </c>
      <c r="BD230" s="363">
        <v>0</v>
      </c>
      <c r="BE230" s="363">
        <v>0</v>
      </c>
      <c r="BF230" s="363">
        <v>0</v>
      </c>
      <c r="BG230" s="363">
        <v>0</v>
      </c>
      <c r="BH230" s="363">
        <v>0</v>
      </c>
      <c r="BI230" s="363">
        <v>0</v>
      </c>
      <c r="BJ230" s="363">
        <v>0</v>
      </c>
      <c r="BK230" s="363">
        <v>0</v>
      </c>
      <c r="BL230" s="363">
        <v>0</v>
      </c>
      <c r="BM230" s="363">
        <v>0</v>
      </c>
      <c r="BN230" s="363">
        <v>0</v>
      </c>
      <c r="BO230" s="363">
        <v>0</v>
      </c>
      <c r="BP230" s="363">
        <v>0</v>
      </c>
      <c r="BQ230" s="363">
        <v>0</v>
      </c>
      <c r="BR230" s="363">
        <v>0</v>
      </c>
      <c r="BS230" s="363">
        <v>0</v>
      </c>
      <c r="BT230" s="363">
        <v>0</v>
      </c>
      <c r="BU230" s="363">
        <v>0</v>
      </c>
      <c r="BV230" s="363">
        <v>0</v>
      </c>
      <c r="BW230" s="363">
        <v>0</v>
      </c>
      <c r="BX230" s="363">
        <v>0</v>
      </c>
      <c r="BY230" s="363">
        <v>0</v>
      </c>
      <c r="BZ230" s="363">
        <v>0</v>
      </c>
      <c r="CA230" s="363">
        <v>0</v>
      </c>
      <c r="CB230" s="363">
        <v>0</v>
      </c>
      <c r="CC230" s="363">
        <v>0</v>
      </c>
      <c r="CD230" s="363">
        <v>0</v>
      </c>
      <c r="CE230" s="363">
        <v>0</v>
      </c>
      <c r="CF230" s="363">
        <v>0</v>
      </c>
      <c r="CG230" s="363">
        <v>0</v>
      </c>
      <c r="CH230" s="363">
        <v>0</v>
      </c>
      <c r="CI230" s="363">
        <v>0</v>
      </c>
      <c r="CJ230" s="363">
        <v>0</v>
      </c>
      <c r="CK230" s="363">
        <v>0</v>
      </c>
      <c r="CL230" s="363">
        <v>0</v>
      </c>
      <c r="CM230" s="363"/>
      <c r="CN230" s="363"/>
      <c r="CO230" s="363"/>
      <c r="CP230" s="363"/>
      <c r="CQ230" s="363"/>
      <c r="CR230" s="363"/>
      <c r="CS230" s="363"/>
      <c r="CT230" s="363"/>
      <c r="CU230" s="363"/>
      <c r="CV230" s="363"/>
      <c r="CW230" s="363"/>
      <c r="CX230" s="363"/>
      <c r="CY230" s="363"/>
      <c r="CZ230" s="363"/>
      <c r="DA230" s="363"/>
      <c r="DB230" s="363"/>
      <c r="DC230" s="363"/>
      <c r="DD230" s="363"/>
      <c r="DE230" s="363"/>
      <c r="DF230" s="363"/>
      <c r="DG230" s="363"/>
      <c r="DH230" s="363"/>
      <c r="DI230" s="363"/>
      <c r="DJ230" s="363"/>
      <c r="DK230" s="363"/>
      <c r="DL230" s="363"/>
      <c r="DM230" s="363"/>
      <c r="DN230" s="363"/>
      <c r="DO230" s="363"/>
      <c r="DP230" s="363"/>
      <c r="DQ230" s="363"/>
      <c r="DR230" s="363"/>
      <c r="DS230" s="363"/>
      <c r="DT230" s="363"/>
      <c r="DU230" s="363"/>
      <c r="DV230" s="363"/>
      <c r="DW230" s="544">
        <f t="shared" si="35"/>
        <v>0</v>
      </c>
      <c r="DX230" s="858"/>
      <c r="DY230" s="705"/>
      <c r="DZ230" s="871"/>
      <c r="EA230" s="873"/>
      <c r="EB230" s="859"/>
      <c r="EC230" s="859"/>
      <c r="ED230" s="859"/>
      <c r="EE230" s="859"/>
      <c r="EF230" s="861"/>
      <c r="EG230" s="1106"/>
      <c r="EI230" s="858"/>
      <c r="EJ230" s="877"/>
      <c r="ER230" s="497"/>
    </row>
    <row r="231" spans="1:148" s="278" customFormat="1" ht="12.75" outlineLevel="2" thickBot="1" x14ac:dyDescent="0.25">
      <c r="A231" s="907"/>
      <c r="B231" s="908"/>
      <c r="C231" s="908"/>
      <c r="D231" s="1077"/>
      <c r="E231" s="927"/>
      <c r="F231" s="313" t="s">
        <v>211</v>
      </c>
      <c r="G231" s="387">
        <v>0</v>
      </c>
      <c r="H231" s="387">
        <v>946.86842899999999</v>
      </c>
      <c r="I231" s="387">
        <v>0</v>
      </c>
      <c r="J231" s="387">
        <v>0</v>
      </c>
      <c r="K231" s="387">
        <v>0</v>
      </c>
      <c r="L231" s="387">
        <v>0</v>
      </c>
      <c r="M231" s="387">
        <v>0</v>
      </c>
      <c r="N231" s="387">
        <v>0</v>
      </c>
      <c r="O231" s="387">
        <v>0</v>
      </c>
      <c r="P231" s="387">
        <v>0</v>
      </c>
      <c r="Q231" s="387">
        <v>0</v>
      </c>
      <c r="R231" s="387">
        <v>0</v>
      </c>
      <c r="S231" s="387">
        <v>0</v>
      </c>
      <c r="T231" s="387">
        <v>0</v>
      </c>
      <c r="U231" s="387">
        <v>0</v>
      </c>
      <c r="V231" s="387">
        <v>0</v>
      </c>
      <c r="W231" s="387">
        <v>0</v>
      </c>
      <c r="X231" s="387">
        <v>0</v>
      </c>
      <c r="Y231" s="387">
        <v>0</v>
      </c>
      <c r="Z231" s="387">
        <v>0</v>
      </c>
      <c r="AA231" s="387">
        <v>0</v>
      </c>
      <c r="AB231" s="387">
        <v>0</v>
      </c>
      <c r="AC231" s="387">
        <v>0</v>
      </c>
      <c r="AD231" s="387">
        <v>0</v>
      </c>
      <c r="AE231" s="387">
        <v>0</v>
      </c>
      <c r="AF231" s="387">
        <v>0</v>
      </c>
      <c r="AG231" s="387">
        <v>0</v>
      </c>
      <c r="AH231" s="387">
        <v>0</v>
      </c>
      <c r="AI231" s="387">
        <v>0</v>
      </c>
      <c r="AJ231" s="387">
        <v>0</v>
      </c>
      <c r="AK231" s="387">
        <v>0</v>
      </c>
      <c r="AL231" s="387">
        <v>0</v>
      </c>
      <c r="AM231" s="387">
        <v>0</v>
      </c>
      <c r="AN231" s="387">
        <v>0</v>
      </c>
      <c r="AO231" s="387">
        <v>0</v>
      </c>
      <c r="AP231" s="387">
        <v>0</v>
      </c>
      <c r="AQ231" s="387">
        <v>0</v>
      </c>
      <c r="AR231" s="387">
        <v>0</v>
      </c>
      <c r="AS231" s="387">
        <v>0</v>
      </c>
      <c r="AT231" s="387">
        <v>0</v>
      </c>
      <c r="AU231" s="387">
        <v>0</v>
      </c>
      <c r="AV231" s="387">
        <v>0</v>
      </c>
      <c r="AW231" s="387">
        <v>0</v>
      </c>
      <c r="AX231" s="387">
        <v>0</v>
      </c>
      <c r="AY231" s="387">
        <v>0</v>
      </c>
      <c r="AZ231" s="387">
        <v>0</v>
      </c>
      <c r="BA231" s="387">
        <v>0</v>
      </c>
      <c r="BB231" s="387">
        <v>0</v>
      </c>
      <c r="BC231" s="387">
        <v>0</v>
      </c>
      <c r="BD231" s="387">
        <v>0</v>
      </c>
      <c r="BE231" s="387">
        <v>0</v>
      </c>
      <c r="BF231" s="387">
        <v>0</v>
      </c>
      <c r="BG231" s="387">
        <v>0</v>
      </c>
      <c r="BH231" s="387">
        <v>0</v>
      </c>
      <c r="BI231" s="387">
        <v>0</v>
      </c>
      <c r="BJ231" s="387">
        <v>0</v>
      </c>
      <c r="BK231" s="387">
        <v>0</v>
      </c>
      <c r="BL231" s="387">
        <v>0</v>
      </c>
      <c r="BM231" s="387">
        <v>0</v>
      </c>
      <c r="BN231" s="387">
        <v>0</v>
      </c>
      <c r="BO231" s="387">
        <v>0</v>
      </c>
      <c r="BP231" s="387">
        <v>0</v>
      </c>
      <c r="BQ231" s="387">
        <v>0</v>
      </c>
      <c r="BR231" s="387">
        <v>0</v>
      </c>
      <c r="BS231" s="387">
        <v>0</v>
      </c>
      <c r="BT231" s="387">
        <v>0</v>
      </c>
      <c r="BU231" s="387">
        <v>0</v>
      </c>
      <c r="BV231" s="387">
        <v>0</v>
      </c>
      <c r="BW231" s="387">
        <v>0</v>
      </c>
      <c r="BX231" s="387">
        <v>0</v>
      </c>
      <c r="BY231" s="387">
        <v>0</v>
      </c>
      <c r="BZ231" s="387">
        <v>0</v>
      </c>
      <c r="CA231" s="387">
        <v>0</v>
      </c>
      <c r="CB231" s="387">
        <v>0</v>
      </c>
      <c r="CC231" s="387">
        <v>0</v>
      </c>
      <c r="CD231" s="387">
        <v>0</v>
      </c>
      <c r="CE231" s="387">
        <v>0</v>
      </c>
      <c r="CF231" s="387">
        <v>0</v>
      </c>
      <c r="CG231" s="387">
        <v>0</v>
      </c>
      <c r="CH231" s="387">
        <v>0</v>
      </c>
      <c r="CI231" s="387">
        <v>0</v>
      </c>
      <c r="CJ231" s="387">
        <v>0</v>
      </c>
      <c r="CK231" s="387">
        <v>0</v>
      </c>
      <c r="CL231" s="387">
        <v>0</v>
      </c>
      <c r="CM231" s="387"/>
      <c r="CN231" s="387"/>
      <c r="CO231" s="387"/>
      <c r="CP231" s="387"/>
      <c r="CQ231" s="387"/>
      <c r="CR231" s="387"/>
      <c r="CS231" s="387"/>
      <c r="CT231" s="387"/>
      <c r="CU231" s="387"/>
      <c r="CV231" s="387"/>
      <c r="CW231" s="387"/>
      <c r="CX231" s="387"/>
      <c r="CY231" s="387"/>
      <c r="CZ231" s="387"/>
      <c r="DA231" s="387"/>
      <c r="DB231" s="387"/>
      <c r="DC231" s="387"/>
      <c r="DD231" s="387"/>
      <c r="DE231" s="387"/>
      <c r="DF231" s="387"/>
      <c r="DG231" s="387"/>
      <c r="DH231" s="387"/>
      <c r="DI231" s="387"/>
      <c r="DJ231" s="387"/>
      <c r="DK231" s="387"/>
      <c r="DL231" s="387"/>
      <c r="DM231" s="387"/>
      <c r="DN231" s="387"/>
      <c r="DO231" s="387"/>
      <c r="DP231" s="387"/>
      <c r="DQ231" s="387"/>
      <c r="DR231" s="387"/>
      <c r="DS231" s="387"/>
      <c r="DT231" s="387"/>
      <c r="DU231" s="387"/>
      <c r="DV231" s="387"/>
      <c r="DW231" s="545">
        <f t="shared" si="35"/>
        <v>946.86842899999999</v>
      </c>
      <c r="DX231" s="858"/>
      <c r="DY231" s="706"/>
      <c r="DZ231" s="872"/>
      <c r="EA231" s="873"/>
      <c r="EB231" s="859"/>
      <c r="EC231" s="859"/>
      <c r="ED231" s="859"/>
      <c r="EE231" s="859"/>
      <c r="EF231" s="861"/>
      <c r="EG231" s="1107"/>
      <c r="EI231" s="858"/>
      <c r="EJ231" s="877"/>
      <c r="ER231" s="497"/>
    </row>
    <row r="232" spans="1:148" s="278" customFormat="1" ht="24" outlineLevel="2" x14ac:dyDescent="0.2">
      <c r="A232" s="905" t="s">
        <v>557</v>
      </c>
      <c r="B232" s="897">
        <v>106</v>
      </c>
      <c r="C232" s="897"/>
      <c r="D232" s="1075">
        <f>+IFERROR(VLOOKUP(B232,'Detalle Plan de Adquisiciones'!$G$6:$M$66,7,FALSE),0)</f>
        <v>742463190</v>
      </c>
      <c r="E232" s="925" t="str">
        <f>+'Detalle Plan de Adquisiciones'!F39</f>
        <v>CALLE 5 ( DIAG 2E) ENTRE TRANSVERSAL 9 Y CARRERA 25 (BARRIO P5)</v>
      </c>
      <c r="F232" s="312" t="s">
        <v>410</v>
      </c>
      <c r="G232" s="354">
        <v>0</v>
      </c>
      <c r="H232" s="354">
        <v>0</v>
      </c>
      <c r="I232" s="354">
        <v>0</v>
      </c>
      <c r="J232" s="354">
        <v>0</v>
      </c>
      <c r="K232" s="354">
        <v>0</v>
      </c>
      <c r="L232" s="354">
        <v>0</v>
      </c>
      <c r="M232" s="354">
        <v>0</v>
      </c>
      <c r="N232" s="354">
        <v>0</v>
      </c>
      <c r="O232" s="354">
        <v>0</v>
      </c>
      <c r="P232" s="354">
        <v>0</v>
      </c>
      <c r="Q232" s="354">
        <v>0</v>
      </c>
      <c r="R232" s="354">
        <v>0</v>
      </c>
      <c r="S232" s="354">
        <v>0</v>
      </c>
      <c r="T232" s="354">
        <v>0</v>
      </c>
      <c r="U232" s="354">
        <v>0</v>
      </c>
      <c r="V232" s="354">
        <v>0</v>
      </c>
      <c r="W232" s="354">
        <v>0</v>
      </c>
      <c r="X232" s="354">
        <v>0</v>
      </c>
      <c r="Y232" s="354">
        <v>0</v>
      </c>
      <c r="Z232" s="354">
        <v>0</v>
      </c>
      <c r="AA232" s="354">
        <v>0</v>
      </c>
      <c r="AB232" s="354">
        <v>0</v>
      </c>
      <c r="AC232" s="354">
        <v>0</v>
      </c>
      <c r="AD232" s="354">
        <v>0</v>
      </c>
      <c r="AE232" s="354">
        <v>0</v>
      </c>
      <c r="AF232" s="354">
        <v>0</v>
      </c>
      <c r="AG232" s="354">
        <v>0</v>
      </c>
      <c r="AH232" s="354">
        <v>0</v>
      </c>
      <c r="AI232" s="354">
        <v>0</v>
      </c>
      <c r="AJ232" s="354">
        <v>0</v>
      </c>
      <c r="AK232" s="354">
        <v>0</v>
      </c>
      <c r="AL232" s="354">
        <v>0</v>
      </c>
      <c r="AM232" s="354">
        <v>0</v>
      </c>
      <c r="AN232" s="354">
        <v>0</v>
      </c>
      <c r="AO232" s="354">
        <v>0</v>
      </c>
      <c r="AP232" s="354">
        <v>0</v>
      </c>
      <c r="AQ232" s="354">
        <v>0</v>
      </c>
      <c r="AR232" s="354">
        <v>0</v>
      </c>
      <c r="AS232" s="354">
        <v>0</v>
      </c>
      <c r="AT232" s="354">
        <v>0</v>
      </c>
      <c r="AU232" s="354">
        <v>0</v>
      </c>
      <c r="AV232" s="354">
        <v>0</v>
      </c>
      <c r="AW232" s="354">
        <v>0</v>
      </c>
      <c r="AX232" s="354">
        <v>0</v>
      </c>
      <c r="AY232" s="354">
        <v>0</v>
      </c>
      <c r="AZ232" s="354">
        <v>0</v>
      </c>
      <c r="BA232" s="354">
        <v>0</v>
      </c>
      <c r="BB232" s="354">
        <v>0</v>
      </c>
      <c r="BC232" s="354">
        <v>0</v>
      </c>
      <c r="BD232" s="354">
        <v>0</v>
      </c>
      <c r="BE232" s="354">
        <v>0</v>
      </c>
      <c r="BF232" s="354">
        <v>0</v>
      </c>
      <c r="BG232" s="354">
        <v>0</v>
      </c>
      <c r="BH232" s="354">
        <v>0</v>
      </c>
      <c r="BI232" s="354">
        <v>0</v>
      </c>
      <c r="BJ232" s="354">
        <v>0</v>
      </c>
      <c r="BK232" s="354">
        <v>0</v>
      </c>
      <c r="BL232" s="354">
        <v>0</v>
      </c>
      <c r="BM232" s="354">
        <v>0</v>
      </c>
      <c r="BN232" s="354">
        <v>0</v>
      </c>
      <c r="BO232" s="354">
        <v>0</v>
      </c>
      <c r="BP232" s="354">
        <v>0</v>
      </c>
      <c r="BQ232" s="354">
        <v>0</v>
      </c>
      <c r="BR232" s="354">
        <v>0</v>
      </c>
      <c r="BS232" s="354">
        <v>0</v>
      </c>
      <c r="BT232" s="354">
        <v>0</v>
      </c>
      <c r="BU232" s="354">
        <v>0</v>
      </c>
      <c r="BV232" s="354">
        <v>0</v>
      </c>
      <c r="BW232" s="354">
        <v>0</v>
      </c>
      <c r="BX232" s="354">
        <v>0</v>
      </c>
      <c r="BY232" s="354">
        <v>0</v>
      </c>
      <c r="BZ232" s="354">
        <v>0</v>
      </c>
      <c r="CA232" s="354">
        <v>0</v>
      </c>
      <c r="CB232" s="354">
        <v>0</v>
      </c>
      <c r="CC232" s="354">
        <v>0</v>
      </c>
      <c r="CD232" s="354">
        <v>0</v>
      </c>
      <c r="CE232" s="354">
        <v>0</v>
      </c>
      <c r="CF232" s="354">
        <v>0</v>
      </c>
      <c r="CG232" s="354">
        <v>0</v>
      </c>
      <c r="CH232" s="354">
        <v>0</v>
      </c>
      <c r="CI232" s="354">
        <v>0</v>
      </c>
      <c r="CJ232" s="354">
        <v>0</v>
      </c>
      <c r="CK232" s="354">
        <v>0</v>
      </c>
      <c r="CL232" s="354">
        <v>0</v>
      </c>
      <c r="CM232" s="354"/>
      <c r="CN232" s="354"/>
      <c r="CO232" s="354"/>
      <c r="CP232" s="354"/>
      <c r="CQ232" s="354"/>
      <c r="CR232" s="354"/>
      <c r="CS232" s="354"/>
      <c r="CT232" s="354"/>
      <c r="CU232" s="354"/>
      <c r="CV232" s="354"/>
      <c r="CW232" s="354"/>
      <c r="CX232" s="354"/>
      <c r="CY232" s="354"/>
      <c r="CZ232" s="354"/>
      <c r="DA232" s="354"/>
      <c r="DB232" s="354"/>
      <c r="DC232" s="354"/>
      <c r="DD232" s="354"/>
      <c r="DE232" s="354"/>
      <c r="DF232" s="354"/>
      <c r="DG232" s="354"/>
      <c r="DH232" s="354"/>
      <c r="DI232" s="354"/>
      <c r="DJ232" s="354"/>
      <c r="DK232" s="354"/>
      <c r="DL232" s="354"/>
      <c r="DM232" s="354"/>
      <c r="DN232" s="354"/>
      <c r="DO232" s="354"/>
      <c r="DP232" s="354"/>
      <c r="DQ232" s="354"/>
      <c r="DR232" s="354"/>
      <c r="DS232" s="354"/>
      <c r="DT232" s="354"/>
      <c r="DU232" s="354"/>
      <c r="DV232" s="354"/>
      <c r="DW232" s="543">
        <f t="shared" si="35"/>
        <v>0</v>
      </c>
      <c r="DX232" s="858">
        <f>DW232+DW233+DW234</f>
        <v>742.46319000000005</v>
      </c>
      <c r="DY232" s="704">
        <f>+DX232*1000000</f>
        <v>742463190</v>
      </c>
      <c r="DZ232" s="870">
        <f>+DY232-D232</f>
        <v>0</v>
      </c>
      <c r="EA232" s="873" t="str">
        <f>VLOOKUP(POA!$B232,'Detalle Plan de Adquisiciones'!$G$6:$AF$66,23,0)</f>
        <v>N/A</v>
      </c>
      <c r="EB232" s="859" t="str">
        <f>VLOOKUP(POA!$B232,'Detalle Plan de Adquisiciones'!$G$6:$AF$66,25,0)</f>
        <v>N/A</v>
      </c>
      <c r="EC232" s="859" t="e">
        <f>EB232+30</f>
        <v>#VALUE!</v>
      </c>
      <c r="ED232" s="859" t="e">
        <f>CONCATENATE(MONTH(EA232),"-",YEAR(EA232))</f>
        <v>#VALUE!</v>
      </c>
      <c r="EE232" s="859" t="e">
        <f>CONCATENATE(MONTH(EB232),"-",YEAR(EB232))</f>
        <v>#VALUE!</v>
      </c>
      <c r="EF232" s="861" t="e">
        <f>CONCATENATE(MONTH(EC232),"-",YEAR(EC232))</f>
        <v>#VALUE!</v>
      </c>
      <c r="EG232" s="1105" t="e">
        <f>+YEAR(EA232)</f>
        <v>#VALUE!</v>
      </c>
      <c r="EH232" s="393">
        <f>+DY232</f>
        <v>742463190</v>
      </c>
      <c r="EI232" s="858">
        <f>+DW232+DW233+DW234</f>
        <v>742.46319000000005</v>
      </c>
      <c r="EJ232" s="877">
        <f>+D232/1000000-EI232</f>
        <v>0</v>
      </c>
      <c r="ER232" s="497"/>
    </row>
    <row r="233" spans="1:148" s="278" customFormat="1" outlineLevel="2" x14ac:dyDescent="0.2">
      <c r="A233" s="906"/>
      <c r="B233" s="886"/>
      <c r="C233" s="886"/>
      <c r="D233" s="1076"/>
      <c r="E233" s="926"/>
      <c r="F233" s="311" t="s">
        <v>210</v>
      </c>
      <c r="G233" s="363">
        <v>0</v>
      </c>
      <c r="H233" s="363">
        <v>0</v>
      </c>
      <c r="I233" s="363">
        <v>0</v>
      </c>
      <c r="J233" s="363">
        <v>0</v>
      </c>
      <c r="K233" s="363">
        <v>0</v>
      </c>
      <c r="L233" s="363">
        <v>0</v>
      </c>
      <c r="M233" s="363">
        <v>0</v>
      </c>
      <c r="N233" s="363">
        <v>0</v>
      </c>
      <c r="O233" s="363">
        <v>0</v>
      </c>
      <c r="P233" s="363">
        <v>0</v>
      </c>
      <c r="Q233" s="363">
        <v>0</v>
      </c>
      <c r="R233" s="363">
        <v>0</v>
      </c>
      <c r="S233" s="363">
        <v>0</v>
      </c>
      <c r="T233" s="363">
        <v>0</v>
      </c>
      <c r="U233" s="363">
        <v>0</v>
      </c>
      <c r="V233" s="363">
        <v>0</v>
      </c>
      <c r="W233" s="363">
        <v>0</v>
      </c>
      <c r="X233" s="363">
        <v>0</v>
      </c>
      <c r="Y233" s="363">
        <v>0</v>
      </c>
      <c r="Z233" s="363">
        <v>0</v>
      </c>
      <c r="AA233" s="363">
        <v>0</v>
      </c>
      <c r="AB233" s="363">
        <v>0</v>
      </c>
      <c r="AC233" s="363">
        <v>0</v>
      </c>
      <c r="AD233" s="363">
        <v>0</v>
      </c>
      <c r="AE233" s="363">
        <v>0</v>
      </c>
      <c r="AF233" s="363">
        <v>0</v>
      </c>
      <c r="AG233" s="363">
        <v>0</v>
      </c>
      <c r="AH233" s="363">
        <v>0</v>
      </c>
      <c r="AI233" s="363">
        <v>0</v>
      </c>
      <c r="AJ233" s="363">
        <v>0</v>
      </c>
      <c r="AK233" s="363">
        <v>0</v>
      </c>
      <c r="AL233" s="363">
        <v>0</v>
      </c>
      <c r="AM233" s="363">
        <v>0</v>
      </c>
      <c r="AN233" s="363">
        <v>0</v>
      </c>
      <c r="AO233" s="363">
        <v>0</v>
      </c>
      <c r="AP233" s="363">
        <v>0</v>
      </c>
      <c r="AQ233" s="363">
        <v>0</v>
      </c>
      <c r="AR233" s="363">
        <v>0</v>
      </c>
      <c r="AS233" s="363">
        <v>0</v>
      </c>
      <c r="AT233" s="363">
        <v>0</v>
      </c>
      <c r="AU233" s="363">
        <v>0</v>
      </c>
      <c r="AV233" s="363">
        <v>0</v>
      </c>
      <c r="AW233" s="363">
        <v>0</v>
      </c>
      <c r="AX233" s="363">
        <v>0</v>
      </c>
      <c r="AY233" s="363">
        <v>0</v>
      </c>
      <c r="AZ233" s="363">
        <v>0</v>
      </c>
      <c r="BA233" s="363">
        <v>0</v>
      </c>
      <c r="BB233" s="363">
        <v>0</v>
      </c>
      <c r="BC233" s="363">
        <v>0</v>
      </c>
      <c r="BD233" s="363">
        <v>0</v>
      </c>
      <c r="BE233" s="363">
        <v>0</v>
      </c>
      <c r="BF233" s="363">
        <v>0</v>
      </c>
      <c r="BG233" s="363">
        <v>0</v>
      </c>
      <c r="BH233" s="363">
        <v>0</v>
      </c>
      <c r="BI233" s="363">
        <v>0</v>
      </c>
      <c r="BJ233" s="363">
        <v>0</v>
      </c>
      <c r="BK233" s="363">
        <v>0</v>
      </c>
      <c r="BL233" s="363">
        <v>0</v>
      </c>
      <c r="BM233" s="363">
        <v>0</v>
      </c>
      <c r="BN233" s="363">
        <v>0</v>
      </c>
      <c r="BO233" s="363">
        <v>0</v>
      </c>
      <c r="BP233" s="363">
        <v>0</v>
      </c>
      <c r="BQ233" s="363">
        <v>0</v>
      </c>
      <c r="BR233" s="363">
        <v>0</v>
      </c>
      <c r="BS233" s="363">
        <v>0</v>
      </c>
      <c r="BT233" s="363">
        <v>0</v>
      </c>
      <c r="BU233" s="363">
        <v>0</v>
      </c>
      <c r="BV233" s="363">
        <v>0</v>
      </c>
      <c r="BW233" s="363">
        <v>0</v>
      </c>
      <c r="BX233" s="363">
        <v>0</v>
      </c>
      <c r="BY233" s="363">
        <v>0</v>
      </c>
      <c r="BZ233" s="363">
        <v>0</v>
      </c>
      <c r="CA233" s="363">
        <v>0</v>
      </c>
      <c r="CB233" s="363">
        <v>0</v>
      </c>
      <c r="CC233" s="363">
        <v>0</v>
      </c>
      <c r="CD233" s="363">
        <v>0</v>
      </c>
      <c r="CE233" s="363">
        <v>0</v>
      </c>
      <c r="CF233" s="363">
        <v>0</v>
      </c>
      <c r="CG233" s="363">
        <v>0</v>
      </c>
      <c r="CH233" s="363">
        <v>0</v>
      </c>
      <c r="CI233" s="363">
        <v>0</v>
      </c>
      <c r="CJ233" s="363">
        <v>0</v>
      </c>
      <c r="CK233" s="363">
        <v>0</v>
      </c>
      <c r="CL233" s="363">
        <v>0</v>
      </c>
      <c r="CM233" s="363"/>
      <c r="CN233" s="363"/>
      <c r="CO233" s="363"/>
      <c r="CP233" s="363"/>
      <c r="CQ233" s="363"/>
      <c r="CR233" s="363"/>
      <c r="CS233" s="363"/>
      <c r="CT233" s="363"/>
      <c r="CU233" s="363"/>
      <c r="CV233" s="363"/>
      <c r="CW233" s="363"/>
      <c r="CX233" s="363"/>
      <c r="CY233" s="363"/>
      <c r="CZ233" s="363"/>
      <c r="DA233" s="363"/>
      <c r="DB233" s="363"/>
      <c r="DC233" s="363"/>
      <c r="DD233" s="363"/>
      <c r="DE233" s="363"/>
      <c r="DF233" s="363"/>
      <c r="DG233" s="363"/>
      <c r="DH233" s="363"/>
      <c r="DI233" s="363"/>
      <c r="DJ233" s="363"/>
      <c r="DK233" s="363"/>
      <c r="DL233" s="363"/>
      <c r="DM233" s="363"/>
      <c r="DN233" s="363"/>
      <c r="DO233" s="363"/>
      <c r="DP233" s="363"/>
      <c r="DQ233" s="363"/>
      <c r="DR233" s="363"/>
      <c r="DS233" s="363"/>
      <c r="DT233" s="363"/>
      <c r="DU233" s="363"/>
      <c r="DV233" s="363"/>
      <c r="DW233" s="544">
        <f t="shared" si="35"/>
        <v>0</v>
      </c>
      <c r="DX233" s="858"/>
      <c r="DY233" s="705"/>
      <c r="DZ233" s="871"/>
      <c r="EA233" s="873"/>
      <c r="EB233" s="859"/>
      <c r="EC233" s="859"/>
      <c r="ED233" s="859"/>
      <c r="EE233" s="859"/>
      <c r="EF233" s="861"/>
      <c r="EG233" s="1106"/>
      <c r="EI233" s="858"/>
      <c r="EJ233" s="877"/>
      <c r="ER233" s="497"/>
    </row>
    <row r="234" spans="1:148" s="278" customFormat="1" ht="12.75" outlineLevel="2" thickBot="1" x14ac:dyDescent="0.25">
      <c r="A234" s="907"/>
      <c r="B234" s="908"/>
      <c r="C234" s="908"/>
      <c r="D234" s="1077"/>
      <c r="E234" s="927"/>
      <c r="F234" s="313" t="s">
        <v>211</v>
      </c>
      <c r="G234" s="387">
        <v>0</v>
      </c>
      <c r="H234" s="387">
        <v>742.46319000000005</v>
      </c>
      <c r="I234" s="387">
        <v>0</v>
      </c>
      <c r="J234" s="387">
        <v>0</v>
      </c>
      <c r="K234" s="387">
        <v>0</v>
      </c>
      <c r="L234" s="387">
        <v>0</v>
      </c>
      <c r="M234" s="387">
        <v>0</v>
      </c>
      <c r="N234" s="387">
        <v>0</v>
      </c>
      <c r="O234" s="387">
        <v>0</v>
      </c>
      <c r="P234" s="387">
        <v>0</v>
      </c>
      <c r="Q234" s="387">
        <v>0</v>
      </c>
      <c r="R234" s="387">
        <v>0</v>
      </c>
      <c r="S234" s="387">
        <v>0</v>
      </c>
      <c r="T234" s="387">
        <v>0</v>
      </c>
      <c r="U234" s="387">
        <v>0</v>
      </c>
      <c r="V234" s="387">
        <v>0</v>
      </c>
      <c r="W234" s="387">
        <v>0</v>
      </c>
      <c r="X234" s="387">
        <v>0</v>
      </c>
      <c r="Y234" s="387">
        <v>0</v>
      </c>
      <c r="Z234" s="387">
        <v>0</v>
      </c>
      <c r="AA234" s="387">
        <v>0</v>
      </c>
      <c r="AB234" s="387">
        <v>0</v>
      </c>
      <c r="AC234" s="387">
        <v>0</v>
      </c>
      <c r="AD234" s="387">
        <v>0</v>
      </c>
      <c r="AE234" s="387">
        <v>0</v>
      </c>
      <c r="AF234" s="387">
        <v>0</v>
      </c>
      <c r="AG234" s="387">
        <v>0</v>
      </c>
      <c r="AH234" s="387">
        <v>0</v>
      </c>
      <c r="AI234" s="387">
        <v>0</v>
      </c>
      <c r="AJ234" s="387">
        <v>0</v>
      </c>
      <c r="AK234" s="387">
        <v>0</v>
      </c>
      <c r="AL234" s="387">
        <v>0</v>
      </c>
      <c r="AM234" s="387">
        <v>0</v>
      </c>
      <c r="AN234" s="387">
        <v>0</v>
      </c>
      <c r="AO234" s="387">
        <v>0</v>
      </c>
      <c r="AP234" s="387">
        <v>0</v>
      </c>
      <c r="AQ234" s="387">
        <v>0</v>
      </c>
      <c r="AR234" s="387">
        <v>0</v>
      </c>
      <c r="AS234" s="387">
        <v>0</v>
      </c>
      <c r="AT234" s="387">
        <v>0</v>
      </c>
      <c r="AU234" s="387">
        <v>0</v>
      </c>
      <c r="AV234" s="387">
        <v>0</v>
      </c>
      <c r="AW234" s="387">
        <v>0</v>
      </c>
      <c r="AX234" s="387">
        <v>0</v>
      </c>
      <c r="AY234" s="387">
        <v>0</v>
      </c>
      <c r="AZ234" s="387">
        <v>0</v>
      </c>
      <c r="BA234" s="387">
        <v>0</v>
      </c>
      <c r="BB234" s="387">
        <v>0</v>
      </c>
      <c r="BC234" s="387">
        <v>0</v>
      </c>
      <c r="BD234" s="387">
        <v>0</v>
      </c>
      <c r="BE234" s="387">
        <v>0</v>
      </c>
      <c r="BF234" s="387">
        <v>0</v>
      </c>
      <c r="BG234" s="387">
        <v>0</v>
      </c>
      <c r="BH234" s="387">
        <v>0</v>
      </c>
      <c r="BI234" s="387">
        <v>0</v>
      </c>
      <c r="BJ234" s="387">
        <v>0</v>
      </c>
      <c r="BK234" s="387">
        <v>0</v>
      </c>
      <c r="BL234" s="387">
        <v>0</v>
      </c>
      <c r="BM234" s="387">
        <v>0</v>
      </c>
      <c r="BN234" s="387">
        <v>0</v>
      </c>
      <c r="BO234" s="387">
        <v>0</v>
      </c>
      <c r="BP234" s="387">
        <v>0</v>
      </c>
      <c r="BQ234" s="387">
        <v>0</v>
      </c>
      <c r="BR234" s="387">
        <v>0</v>
      </c>
      <c r="BS234" s="387">
        <v>0</v>
      </c>
      <c r="BT234" s="387">
        <v>0</v>
      </c>
      <c r="BU234" s="387">
        <v>0</v>
      </c>
      <c r="BV234" s="387">
        <v>0</v>
      </c>
      <c r="BW234" s="387">
        <v>0</v>
      </c>
      <c r="BX234" s="387">
        <v>0</v>
      </c>
      <c r="BY234" s="387">
        <v>0</v>
      </c>
      <c r="BZ234" s="387">
        <v>0</v>
      </c>
      <c r="CA234" s="387">
        <v>0</v>
      </c>
      <c r="CB234" s="387">
        <v>0</v>
      </c>
      <c r="CC234" s="387">
        <v>0</v>
      </c>
      <c r="CD234" s="387">
        <v>0</v>
      </c>
      <c r="CE234" s="387">
        <v>0</v>
      </c>
      <c r="CF234" s="387">
        <v>0</v>
      </c>
      <c r="CG234" s="387">
        <v>0</v>
      </c>
      <c r="CH234" s="387">
        <v>0</v>
      </c>
      <c r="CI234" s="387">
        <v>0</v>
      </c>
      <c r="CJ234" s="387">
        <v>0</v>
      </c>
      <c r="CK234" s="387">
        <v>0</v>
      </c>
      <c r="CL234" s="387">
        <v>0</v>
      </c>
      <c r="CM234" s="387"/>
      <c r="CN234" s="387"/>
      <c r="CO234" s="387"/>
      <c r="CP234" s="387"/>
      <c r="CQ234" s="387"/>
      <c r="CR234" s="387"/>
      <c r="CS234" s="387"/>
      <c r="CT234" s="387"/>
      <c r="CU234" s="387"/>
      <c r="CV234" s="387"/>
      <c r="CW234" s="387"/>
      <c r="CX234" s="387"/>
      <c r="CY234" s="387"/>
      <c r="CZ234" s="387"/>
      <c r="DA234" s="387"/>
      <c r="DB234" s="387"/>
      <c r="DC234" s="387"/>
      <c r="DD234" s="387"/>
      <c r="DE234" s="387"/>
      <c r="DF234" s="387"/>
      <c r="DG234" s="387"/>
      <c r="DH234" s="387"/>
      <c r="DI234" s="387"/>
      <c r="DJ234" s="387"/>
      <c r="DK234" s="387"/>
      <c r="DL234" s="387"/>
      <c r="DM234" s="387"/>
      <c r="DN234" s="387"/>
      <c r="DO234" s="387"/>
      <c r="DP234" s="387"/>
      <c r="DQ234" s="387"/>
      <c r="DR234" s="387"/>
      <c r="DS234" s="387"/>
      <c r="DT234" s="387"/>
      <c r="DU234" s="387"/>
      <c r="DV234" s="387"/>
      <c r="DW234" s="545">
        <f t="shared" si="35"/>
        <v>742.46319000000005</v>
      </c>
      <c r="DX234" s="858"/>
      <c r="DY234" s="706"/>
      <c r="DZ234" s="872"/>
      <c r="EA234" s="873"/>
      <c r="EB234" s="859"/>
      <c r="EC234" s="859"/>
      <c r="ED234" s="859"/>
      <c r="EE234" s="859"/>
      <c r="EF234" s="861"/>
      <c r="EG234" s="1107"/>
      <c r="EI234" s="858"/>
      <c r="EJ234" s="877"/>
      <c r="ER234" s="497"/>
    </row>
    <row r="235" spans="1:148" s="278" customFormat="1" ht="24" outlineLevel="2" x14ac:dyDescent="0.2">
      <c r="A235" s="905" t="s">
        <v>557</v>
      </c>
      <c r="B235" s="897" t="s">
        <v>168</v>
      </c>
      <c r="C235" s="897"/>
      <c r="D235" s="863">
        <f>+IFERROR(VLOOKUP(B235,'Detalle Plan de Adquisiciones'!$G$6:$M$66,7,FALSE),0)</f>
        <v>0</v>
      </c>
      <c r="E235" s="866" t="str">
        <f>+'Detalle Plan de Adquisiciones'!F40</f>
        <v>CONSTRUCCIÓN PRIMERA ETAPA PARA LA REPAVIMENTACIÓN DE LA CRA 3RA ENTRE CALLES 37 Y AVENIDA CIRCUNVALAR SUR PERTENECIENTE A LOS CORREDORES DEL SETP DEL MUNICIPIO DE MONTERÍA</v>
      </c>
      <c r="F235" s="312" t="s">
        <v>410</v>
      </c>
      <c r="G235" s="354">
        <v>0</v>
      </c>
      <c r="H235" s="354">
        <v>0</v>
      </c>
      <c r="I235" s="354">
        <v>0</v>
      </c>
      <c r="J235" s="354">
        <v>0</v>
      </c>
      <c r="K235" s="354">
        <v>0</v>
      </c>
      <c r="L235" s="354">
        <v>0</v>
      </c>
      <c r="M235" s="354">
        <v>0</v>
      </c>
      <c r="N235" s="354">
        <v>0</v>
      </c>
      <c r="O235" s="354">
        <v>0</v>
      </c>
      <c r="P235" s="354">
        <v>0</v>
      </c>
      <c r="Q235" s="354">
        <v>0</v>
      </c>
      <c r="R235" s="354">
        <v>0</v>
      </c>
      <c r="S235" s="354">
        <v>0</v>
      </c>
      <c r="T235" s="354">
        <v>0</v>
      </c>
      <c r="U235" s="354">
        <v>0</v>
      </c>
      <c r="V235" s="354">
        <v>0</v>
      </c>
      <c r="W235" s="354">
        <v>0</v>
      </c>
      <c r="X235" s="354">
        <v>0</v>
      </c>
      <c r="Y235" s="354">
        <v>0</v>
      </c>
      <c r="Z235" s="354">
        <v>0</v>
      </c>
      <c r="AA235" s="354">
        <v>0</v>
      </c>
      <c r="AB235" s="354">
        <v>0</v>
      </c>
      <c r="AC235" s="354">
        <v>0</v>
      </c>
      <c r="AD235" s="354">
        <v>0</v>
      </c>
      <c r="AE235" s="354">
        <v>0</v>
      </c>
      <c r="AF235" s="354">
        <v>0</v>
      </c>
      <c r="AG235" s="354">
        <v>0</v>
      </c>
      <c r="AH235" s="354">
        <v>0</v>
      </c>
      <c r="AI235" s="354">
        <v>0</v>
      </c>
      <c r="AJ235" s="354">
        <v>0</v>
      </c>
      <c r="AK235" s="354">
        <v>0</v>
      </c>
      <c r="AL235" s="354">
        <v>0</v>
      </c>
      <c r="AM235" s="354">
        <v>0</v>
      </c>
      <c r="AN235" s="354">
        <v>0</v>
      </c>
      <c r="AO235" s="354">
        <v>0</v>
      </c>
      <c r="AP235" s="354">
        <v>0</v>
      </c>
      <c r="AQ235" s="354">
        <v>0</v>
      </c>
      <c r="AR235" s="354">
        <v>0</v>
      </c>
      <c r="AS235" s="354">
        <v>0</v>
      </c>
      <c r="AT235" s="354">
        <v>0</v>
      </c>
      <c r="AU235" s="354">
        <v>0</v>
      </c>
      <c r="AV235" s="354">
        <v>0</v>
      </c>
      <c r="AW235" s="354">
        <v>0</v>
      </c>
      <c r="AX235" s="354">
        <v>0</v>
      </c>
      <c r="AY235" s="354">
        <v>0</v>
      </c>
      <c r="AZ235" s="354">
        <v>0</v>
      </c>
      <c r="BA235" s="354">
        <v>0</v>
      </c>
      <c r="BB235" s="354">
        <v>0</v>
      </c>
      <c r="BC235" s="354">
        <v>0</v>
      </c>
      <c r="BD235" s="354">
        <v>0</v>
      </c>
      <c r="BE235" s="354">
        <v>0</v>
      </c>
      <c r="BF235" s="354">
        <v>0</v>
      </c>
      <c r="BG235" s="354">
        <v>0</v>
      </c>
      <c r="BH235" s="354">
        <v>0</v>
      </c>
      <c r="BI235" s="354">
        <v>0</v>
      </c>
      <c r="BJ235" s="354">
        <v>0</v>
      </c>
      <c r="BK235" s="354">
        <v>0</v>
      </c>
      <c r="BL235" s="354">
        <v>0</v>
      </c>
      <c r="BM235" s="354">
        <v>0</v>
      </c>
      <c r="BN235" s="354">
        <v>0</v>
      </c>
      <c r="BO235" s="354">
        <v>0</v>
      </c>
      <c r="BP235" s="354">
        <v>0</v>
      </c>
      <c r="BQ235" s="354">
        <v>0</v>
      </c>
      <c r="BR235" s="354">
        <v>0</v>
      </c>
      <c r="BS235" s="354">
        <v>0</v>
      </c>
      <c r="BT235" s="354">
        <v>0</v>
      </c>
      <c r="BU235" s="354">
        <v>0</v>
      </c>
      <c r="BV235" s="354">
        <v>0</v>
      </c>
      <c r="BW235" s="354">
        <v>0</v>
      </c>
      <c r="BX235" s="354">
        <v>0</v>
      </c>
      <c r="BY235" s="354">
        <v>0</v>
      </c>
      <c r="BZ235" s="354">
        <v>0</v>
      </c>
      <c r="CA235" s="354">
        <v>0</v>
      </c>
      <c r="CB235" s="354">
        <v>0</v>
      </c>
      <c r="CC235" s="354">
        <v>0</v>
      </c>
      <c r="CD235" s="354">
        <v>0</v>
      </c>
      <c r="CE235" s="354">
        <v>0</v>
      </c>
      <c r="CF235" s="354">
        <v>0</v>
      </c>
      <c r="CG235" s="354">
        <v>0</v>
      </c>
      <c r="CH235" s="354">
        <v>0</v>
      </c>
      <c r="CI235" s="354">
        <v>0</v>
      </c>
      <c r="CJ235" s="354">
        <v>0</v>
      </c>
      <c r="CK235" s="354">
        <v>0</v>
      </c>
      <c r="CL235" s="354">
        <v>0</v>
      </c>
      <c r="CM235" s="354"/>
      <c r="CN235" s="354"/>
      <c r="CO235" s="354"/>
      <c r="CP235" s="354"/>
      <c r="CQ235" s="354"/>
      <c r="CR235" s="354"/>
      <c r="CS235" s="354"/>
      <c r="CT235" s="354"/>
      <c r="CU235" s="354"/>
      <c r="CV235" s="354"/>
      <c r="CW235" s="354"/>
      <c r="CX235" s="354"/>
      <c r="CY235" s="354"/>
      <c r="CZ235" s="354"/>
      <c r="DA235" s="354"/>
      <c r="DB235" s="354"/>
      <c r="DC235" s="354"/>
      <c r="DD235" s="354"/>
      <c r="DE235" s="354"/>
      <c r="DF235" s="354"/>
      <c r="DG235" s="354"/>
      <c r="DH235" s="354"/>
      <c r="DI235" s="354"/>
      <c r="DJ235" s="354"/>
      <c r="DK235" s="354"/>
      <c r="DL235" s="354"/>
      <c r="DM235" s="354"/>
      <c r="DN235" s="354"/>
      <c r="DO235" s="354"/>
      <c r="DP235" s="354"/>
      <c r="DQ235" s="354"/>
      <c r="DR235" s="354"/>
      <c r="DS235" s="354"/>
      <c r="DT235" s="354"/>
      <c r="DU235" s="354"/>
      <c r="DV235" s="354"/>
      <c r="DW235" s="543">
        <f t="shared" si="35"/>
        <v>0</v>
      </c>
      <c r="DX235" s="858">
        <f>DW235+DW236+DW237</f>
        <v>0</v>
      </c>
      <c r="DY235" s="704">
        <f>+DX235*1000000</f>
        <v>0</v>
      </c>
      <c r="DZ235" s="870">
        <f>+DY235-D235</f>
        <v>0</v>
      </c>
      <c r="EA235" s="873" t="str">
        <f>VLOOKUP(POA!$B235,'Detalle Plan de Adquisiciones'!$G$6:$AF$66,23,0)</f>
        <v>N/A</v>
      </c>
      <c r="EB235" s="859" t="str">
        <f>VLOOKUP(POA!$B235,'Detalle Plan de Adquisiciones'!$G$6:$AF$66,25,0)</f>
        <v>N/A</v>
      </c>
      <c r="EC235" s="859" t="e">
        <f>EB235+30</f>
        <v>#VALUE!</v>
      </c>
      <c r="ED235" s="859" t="e">
        <f>CONCATENATE(MONTH(EA235),"-",YEAR(EA235))</f>
        <v>#VALUE!</v>
      </c>
      <c r="EE235" s="859" t="e">
        <f>CONCATENATE(MONTH(EB235),"-",YEAR(EB235))</f>
        <v>#VALUE!</v>
      </c>
      <c r="EF235" s="861" t="e">
        <f>CONCATENATE(MONTH(EC235),"-",YEAR(EC235))</f>
        <v>#VALUE!</v>
      </c>
      <c r="EG235" s="1105" t="e">
        <f>+YEAR(EA235)</f>
        <v>#VALUE!</v>
      </c>
      <c r="EH235" s="393">
        <f>+DY235</f>
        <v>0</v>
      </c>
      <c r="EI235" s="858">
        <f>+DW235+DW236+DW237</f>
        <v>0</v>
      </c>
      <c r="EJ235" s="877">
        <f>+D235/1000000-EI235</f>
        <v>0</v>
      </c>
      <c r="ER235" s="497"/>
    </row>
    <row r="236" spans="1:148" s="278" customFormat="1" outlineLevel="2" x14ac:dyDescent="0.2">
      <c r="A236" s="906"/>
      <c r="B236" s="886"/>
      <c r="C236" s="886"/>
      <c r="D236" s="864"/>
      <c r="E236" s="867"/>
      <c r="F236" s="311" t="s">
        <v>210</v>
      </c>
      <c r="G236" s="363">
        <v>0</v>
      </c>
      <c r="H236" s="363">
        <v>0</v>
      </c>
      <c r="I236" s="363">
        <v>0</v>
      </c>
      <c r="J236" s="363">
        <v>0</v>
      </c>
      <c r="K236" s="363">
        <v>0</v>
      </c>
      <c r="L236" s="363">
        <v>0</v>
      </c>
      <c r="M236" s="363">
        <v>0</v>
      </c>
      <c r="N236" s="363">
        <v>0</v>
      </c>
      <c r="O236" s="363">
        <v>0</v>
      </c>
      <c r="P236" s="363">
        <v>0</v>
      </c>
      <c r="Q236" s="363">
        <v>0</v>
      </c>
      <c r="R236" s="363">
        <v>0</v>
      </c>
      <c r="S236" s="363">
        <v>0</v>
      </c>
      <c r="T236" s="363">
        <v>0</v>
      </c>
      <c r="U236" s="363">
        <v>0</v>
      </c>
      <c r="V236" s="363">
        <v>0</v>
      </c>
      <c r="W236" s="363">
        <v>0</v>
      </c>
      <c r="X236" s="363">
        <v>0</v>
      </c>
      <c r="Y236" s="363">
        <v>0</v>
      </c>
      <c r="Z236" s="363">
        <v>0</v>
      </c>
      <c r="AA236" s="363">
        <v>0</v>
      </c>
      <c r="AB236" s="363">
        <v>0</v>
      </c>
      <c r="AC236" s="363">
        <v>0</v>
      </c>
      <c r="AD236" s="363">
        <v>0</v>
      </c>
      <c r="AE236" s="363">
        <v>0</v>
      </c>
      <c r="AF236" s="363">
        <v>0</v>
      </c>
      <c r="AG236" s="363">
        <v>0</v>
      </c>
      <c r="AH236" s="363">
        <v>0</v>
      </c>
      <c r="AI236" s="363">
        <v>0</v>
      </c>
      <c r="AJ236" s="363">
        <v>0</v>
      </c>
      <c r="AK236" s="363">
        <v>0</v>
      </c>
      <c r="AL236" s="363">
        <v>0</v>
      </c>
      <c r="AM236" s="363">
        <v>0</v>
      </c>
      <c r="AN236" s="363">
        <v>0</v>
      </c>
      <c r="AO236" s="363">
        <v>0</v>
      </c>
      <c r="AP236" s="363">
        <v>0</v>
      </c>
      <c r="AQ236" s="363">
        <v>0</v>
      </c>
      <c r="AR236" s="363">
        <v>0</v>
      </c>
      <c r="AS236" s="363">
        <v>0</v>
      </c>
      <c r="AT236" s="363">
        <v>0</v>
      </c>
      <c r="AU236" s="363">
        <v>0</v>
      </c>
      <c r="AV236" s="363">
        <v>0</v>
      </c>
      <c r="AW236" s="363">
        <v>0</v>
      </c>
      <c r="AX236" s="363">
        <v>0</v>
      </c>
      <c r="AY236" s="363">
        <v>0</v>
      </c>
      <c r="AZ236" s="363">
        <v>0</v>
      </c>
      <c r="BA236" s="363">
        <v>0</v>
      </c>
      <c r="BB236" s="363">
        <v>0</v>
      </c>
      <c r="BC236" s="363">
        <v>0</v>
      </c>
      <c r="BD236" s="363">
        <v>0</v>
      </c>
      <c r="BE236" s="363">
        <v>0</v>
      </c>
      <c r="BF236" s="363">
        <v>0</v>
      </c>
      <c r="BG236" s="363">
        <v>0</v>
      </c>
      <c r="BH236" s="363">
        <v>0</v>
      </c>
      <c r="BI236" s="363">
        <v>0</v>
      </c>
      <c r="BJ236" s="363">
        <v>0</v>
      </c>
      <c r="BK236" s="363">
        <v>0</v>
      </c>
      <c r="BL236" s="363">
        <v>0</v>
      </c>
      <c r="BM236" s="363">
        <v>0</v>
      </c>
      <c r="BN236" s="363">
        <v>0</v>
      </c>
      <c r="BO236" s="363">
        <v>0</v>
      </c>
      <c r="BP236" s="363">
        <v>0</v>
      </c>
      <c r="BQ236" s="363">
        <v>0</v>
      </c>
      <c r="BR236" s="363">
        <v>0</v>
      </c>
      <c r="BS236" s="363">
        <v>0</v>
      </c>
      <c r="BT236" s="363">
        <v>0</v>
      </c>
      <c r="BU236" s="363">
        <v>0</v>
      </c>
      <c r="BV236" s="363">
        <v>0</v>
      </c>
      <c r="BW236" s="363">
        <v>0</v>
      </c>
      <c r="BX236" s="363">
        <v>0</v>
      </c>
      <c r="BY236" s="363">
        <v>0</v>
      </c>
      <c r="BZ236" s="363">
        <v>0</v>
      </c>
      <c r="CA236" s="363">
        <v>0</v>
      </c>
      <c r="CB236" s="363">
        <v>0</v>
      </c>
      <c r="CC236" s="363">
        <v>0</v>
      </c>
      <c r="CD236" s="363">
        <v>0</v>
      </c>
      <c r="CE236" s="363">
        <v>0</v>
      </c>
      <c r="CF236" s="363">
        <v>0</v>
      </c>
      <c r="CG236" s="363">
        <v>0</v>
      </c>
      <c r="CH236" s="363">
        <v>0</v>
      </c>
      <c r="CI236" s="363">
        <v>0</v>
      </c>
      <c r="CJ236" s="363">
        <v>0</v>
      </c>
      <c r="CK236" s="363">
        <v>0</v>
      </c>
      <c r="CL236" s="363">
        <v>0</v>
      </c>
      <c r="CM236" s="363"/>
      <c r="CN236" s="363"/>
      <c r="CO236" s="363"/>
      <c r="CP236" s="363"/>
      <c r="CQ236" s="363"/>
      <c r="CR236" s="363"/>
      <c r="CS236" s="363"/>
      <c r="CT236" s="363"/>
      <c r="CU236" s="363"/>
      <c r="CV236" s="363"/>
      <c r="CW236" s="363"/>
      <c r="CX236" s="363"/>
      <c r="CY236" s="363"/>
      <c r="CZ236" s="363"/>
      <c r="DA236" s="363"/>
      <c r="DB236" s="363"/>
      <c r="DC236" s="363"/>
      <c r="DD236" s="363"/>
      <c r="DE236" s="363"/>
      <c r="DF236" s="363"/>
      <c r="DG236" s="363"/>
      <c r="DH236" s="363"/>
      <c r="DI236" s="363"/>
      <c r="DJ236" s="363"/>
      <c r="DK236" s="363"/>
      <c r="DL236" s="363"/>
      <c r="DM236" s="363"/>
      <c r="DN236" s="363"/>
      <c r="DO236" s="363"/>
      <c r="DP236" s="363"/>
      <c r="DQ236" s="363"/>
      <c r="DR236" s="363"/>
      <c r="DS236" s="363"/>
      <c r="DT236" s="363"/>
      <c r="DU236" s="363"/>
      <c r="DV236" s="363"/>
      <c r="DW236" s="544">
        <f t="shared" si="35"/>
        <v>0</v>
      </c>
      <c r="DX236" s="858"/>
      <c r="DY236" s="705"/>
      <c r="DZ236" s="871"/>
      <c r="EA236" s="873"/>
      <c r="EB236" s="859"/>
      <c r="EC236" s="859"/>
      <c r="ED236" s="859"/>
      <c r="EE236" s="859"/>
      <c r="EF236" s="861"/>
      <c r="EG236" s="1106"/>
      <c r="EI236" s="858"/>
      <c r="EJ236" s="877"/>
      <c r="ER236" s="497"/>
    </row>
    <row r="237" spans="1:148" s="278" customFormat="1" ht="29.25" customHeight="1" outlineLevel="2" thickBot="1" x14ac:dyDescent="0.25">
      <c r="A237" s="907"/>
      <c r="B237" s="908"/>
      <c r="C237" s="908"/>
      <c r="D237" s="876"/>
      <c r="E237" s="875"/>
      <c r="F237" s="313" t="s">
        <v>211</v>
      </c>
      <c r="G237" s="387">
        <v>0</v>
      </c>
      <c r="H237" s="387">
        <v>0</v>
      </c>
      <c r="I237" s="387">
        <v>0</v>
      </c>
      <c r="J237" s="387">
        <v>0</v>
      </c>
      <c r="K237" s="387">
        <v>0</v>
      </c>
      <c r="L237" s="387">
        <v>0</v>
      </c>
      <c r="M237" s="387">
        <v>0</v>
      </c>
      <c r="N237" s="387">
        <v>0</v>
      </c>
      <c r="O237" s="387">
        <v>0</v>
      </c>
      <c r="P237" s="387">
        <v>0</v>
      </c>
      <c r="Q237" s="387">
        <v>0</v>
      </c>
      <c r="R237" s="387">
        <v>0</v>
      </c>
      <c r="S237" s="387">
        <v>0</v>
      </c>
      <c r="T237" s="387">
        <v>0</v>
      </c>
      <c r="U237" s="387">
        <v>0</v>
      </c>
      <c r="V237" s="387">
        <v>0</v>
      </c>
      <c r="W237" s="387">
        <v>0</v>
      </c>
      <c r="X237" s="387">
        <v>0</v>
      </c>
      <c r="Y237" s="387">
        <v>0</v>
      </c>
      <c r="Z237" s="387">
        <v>0</v>
      </c>
      <c r="AA237" s="387">
        <v>0</v>
      </c>
      <c r="AB237" s="387">
        <v>0</v>
      </c>
      <c r="AC237" s="387">
        <v>0</v>
      </c>
      <c r="AD237" s="387">
        <v>0</v>
      </c>
      <c r="AE237" s="387">
        <v>0</v>
      </c>
      <c r="AF237" s="387">
        <v>0</v>
      </c>
      <c r="AG237" s="387">
        <v>0</v>
      </c>
      <c r="AH237" s="387">
        <v>0</v>
      </c>
      <c r="AI237" s="387">
        <v>0</v>
      </c>
      <c r="AJ237" s="387">
        <v>0</v>
      </c>
      <c r="AK237" s="387">
        <v>0</v>
      </c>
      <c r="AL237" s="387">
        <v>0</v>
      </c>
      <c r="AM237" s="387">
        <v>0</v>
      </c>
      <c r="AN237" s="387">
        <v>0</v>
      </c>
      <c r="AO237" s="387">
        <v>0</v>
      </c>
      <c r="AP237" s="387">
        <v>0</v>
      </c>
      <c r="AQ237" s="387">
        <v>0</v>
      </c>
      <c r="AR237" s="387">
        <v>0</v>
      </c>
      <c r="AS237" s="387">
        <v>0</v>
      </c>
      <c r="AT237" s="387">
        <v>0</v>
      </c>
      <c r="AU237" s="387">
        <v>0</v>
      </c>
      <c r="AV237" s="387">
        <v>0</v>
      </c>
      <c r="AW237" s="387">
        <v>0</v>
      </c>
      <c r="AX237" s="387">
        <v>0</v>
      </c>
      <c r="AY237" s="387">
        <v>0</v>
      </c>
      <c r="AZ237" s="387">
        <v>0</v>
      </c>
      <c r="BA237" s="387">
        <v>0</v>
      </c>
      <c r="BB237" s="387">
        <v>0</v>
      </c>
      <c r="BC237" s="387">
        <v>0</v>
      </c>
      <c r="BD237" s="387">
        <v>0</v>
      </c>
      <c r="BE237" s="387">
        <v>0</v>
      </c>
      <c r="BF237" s="387">
        <v>0</v>
      </c>
      <c r="BG237" s="387">
        <v>0</v>
      </c>
      <c r="BH237" s="387">
        <v>0</v>
      </c>
      <c r="BI237" s="387">
        <v>0</v>
      </c>
      <c r="BJ237" s="387">
        <v>0</v>
      </c>
      <c r="BK237" s="387">
        <v>0</v>
      </c>
      <c r="BL237" s="387">
        <v>0</v>
      </c>
      <c r="BM237" s="387">
        <v>0</v>
      </c>
      <c r="BN237" s="387">
        <v>0</v>
      </c>
      <c r="BO237" s="387">
        <v>0</v>
      </c>
      <c r="BP237" s="387">
        <v>0</v>
      </c>
      <c r="BQ237" s="387">
        <v>0</v>
      </c>
      <c r="BR237" s="387">
        <v>0</v>
      </c>
      <c r="BS237" s="387">
        <v>0</v>
      </c>
      <c r="BT237" s="387">
        <v>0</v>
      </c>
      <c r="BU237" s="387">
        <v>0</v>
      </c>
      <c r="BV237" s="387">
        <v>0</v>
      </c>
      <c r="BW237" s="387">
        <v>0</v>
      </c>
      <c r="BX237" s="387">
        <v>0</v>
      </c>
      <c r="BY237" s="387">
        <v>0</v>
      </c>
      <c r="BZ237" s="387">
        <v>0</v>
      </c>
      <c r="CA237" s="387">
        <v>0</v>
      </c>
      <c r="CB237" s="387">
        <v>0</v>
      </c>
      <c r="CC237" s="387">
        <v>0</v>
      </c>
      <c r="CD237" s="387">
        <v>0</v>
      </c>
      <c r="CE237" s="387">
        <v>0</v>
      </c>
      <c r="CF237" s="387">
        <v>0</v>
      </c>
      <c r="CG237" s="387">
        <v>0</v>
      </c>
      <c r="CH237" s="387">
        <v>0</v>
      </c>
      <c r="CI237" s="387">
        <v>0</v>
      </c>
      <c r="CJ237" s="387">
        <v>0</v>
      </c>
      <c r="CK237" s="387">
        <v>0</v>
      </c>
      <c r="CL237" s="387">
        <v>0</v>
      </c>
      <c r="CM237" s="387"/>
      <c r="CN237" s="387"/>
      <c r="CO237" s="387"/>
      <c r="CP237" s="387"/>
      <c r="CQ237" s="387"/>
      <c r="CR237" s="387"/>
      <c r="CS237" s="387"/>
      <c r="CT237" s="387"/>
      <c r="CU237" s="387"/>
      <c r="CV237" s="387"/>
      <c r="CW237" s="387"/>
      <c r="CX237" s="387"/>
      <c r="CY237" s="387"/>
      <c r="CZ237" s="387"/>
      <c r="DA237" s="387"/>
      <c r="DB237" s="387"/>
      <c r="DC237" s="387"/>
      <c r="DD237" s="387"/>
      <c r="DE237" s="387"/>
      <c r="DF237" s="387"/>
      <c r="DG237" s="387"/>
      <c r="DH237" s="387"/>
      <c r="DI237" s="387"/>
      <c r="DJ237" s="387"/>
      <c r="DK237" s="387"/>
      <c r="DL237" s="387"/>
      <c r="DM237" s="387"/>
      <c r="DN237" s="387"/>
      <c r="DO237" s="387"/>
      <c r="DP237" s="387"/>
      <c r="DQ237" s="387"/>
      <c r="DR237" s="387"/>
      <c r="DS237" s="387"/>
      <c r="DT237" s="387"/>
      <c r="DU237" s="387"/>
      <c r="DV237" s="387"/>
      <c r="DW237" s="545">
        <f t="shared" si="35"/>
        <v>0</v>
      </c>
      <c r="DX237" s="858"/>
      <c r="DY237" s="706"/>
      <c r="DZ237" s="872"/>
      <c r="EA237" s="873"/>
      <c r="EB237" s="859"/>
      <c r="EC237" s="859"/>
      <c r="ED237" s="859"/>
      <c r="EE237" s="859"/>
      <c r="EF237" s="861"/>
      <c r="EG237" s="1107"/>
      <c r="EI237" s="858"/>
      <c r="EJ237" s="877"/>
      <c r="ER237" s="497"/>
    </row>
    <row r="238" spans="1:148" s="278" customFormat="1" ht="24" outlineLevel="2" x14ac:dyDescent="0.2">
      <c r="A238" s="905" t="s">
        <v>557</v>
      </c>
      <c r="B238" s="897">
        <v>119</v>
      </c>
      <c r="C238" s="897"/>
      <c r="D238" s="1075">
        <f>+IFERROR(VLOOKUP(B238,'Detalle Plan de Adquisiciones'!$G$6:$M$66,7,FALSE),0)</f>
        <v>5716957088</v>
      </c>
      <c r="E238" s="925" t="str">
        <f>+'Detalle Plan de Adquisiciones'!F41</f>
        <v>TRANSVERSAL 5 DESDE LA DIAG. 14 HASTA LA DIAG. 20 (CALLE P/PAL DEL BARRIO LA GRANJA)</v>
      </c>
      <c r="F238" s="312" t="s">
        <v>410</v>
      </c>
      <c r="G238" s="354">
        <v>0</v>
      </c>
      <c r="H238" s="354">
        <v>0</v>
      </c>
      <c r="I238" s="354">
        <v>0</v>
      </c>
      <c r="J238" s="354">
        <v>0</v>
      </c>
      <c r="K238" s="354">
        <v>0</v>
      </c>
      <c r="L238" s="354">
        <v>0</v>
      </c>
      <c r="M238" s="354">
        <v>0</v>
      </c>
      <c r="N238" s="354">
        <v>0</v>
      </c>
      <c r="O238" s="354">
        <v>0</v>
      </c>
      <c r="P238" s="354">
        <v>0</v>
      </c>
      <c r="Q238" s="354">
        <v>0</v>
      </c>
      <c r="R238" s="354">
        <v>0</v>
      </c>
      <c r="S238" s="354">
        <v>0</v>
      </c>
      <c r="T238" s="354">
        <v>0</v>
      </c>
      <c r="U238" s="354">
        <v>0</v>
      </c>
      <c r="V238" s="354">
        <v>0</v>
      </c>
      <c r="W238" s="354">
        <v>0</v>
      </c>
      <c r="X238" s="354">
        <v>0</v>
      </c>
      <c r="Y238" s="354">
        <v>0</v>
      </c>
      <c r="Z238" s="354">
        <v>0</v>
      </c>
      <c r="AA238" s="354">
        <v>0</v>
      </c>
      <c r="AB238" s="354">
        <v>0</v>
      </c>
      <c r="AC238" s="354">
        <v>0</v>
      </c>
      <c r="AD238" s="354">
        <v>0</v>
      </c>
      <c r="AE238" s="354">
        <v>0</v>
      </c>
      <c r="AF238" s="354">
        <v>0</v>
      </c>
      <c r="AG238" s="354">
        <v>0</v>
      </c>
      <c r="AH238" s="354">
        <v>0</v>
      </c>
      <c r="AI238" s="354">
        <v>0</v>
      </c>
      <c r="AJ238" s="354">
        <v>0</v>
      </c>
      <c r="AK238" s="354">
        <v>0</v>
      </c>
      <c r="AL238" s="354">
        <v>0</v>
      </c>
      <c r="AM238" s="354">
        <v>0</v>
      </c>
      <c r="AN238" s="354">
        <v>0</v>
      </c>
      <c r="AO238" s="354">
        <v>0</v>
      </c>
      <c r="AP238" s="354">
        <v>0</v>
      </c>
      <c r="AQ238" s="354">
        <v>0</v>
      </c>
      <c r="AR238" s="354">
        <v>0</v>
      </c>
      <c r="AS238" s="354">
        <v>0</v>
      </c>
      <c r="AT238" s="354">
        <v>0</v>
      </c>
      <c r="AU238" s="354">
        <v>0</v>
      </c>
      <c r="AV238" s="354">
        <v>0</v>
      </c>
      <c r="AW238" s="354">
        <v>0</v>
      </c>
      <c r="AX238" s="354">
        <v>0</v>
      </c>
      <c r="AY238" s="354">
        <v>0</v>
      </c>
      <c r="AZ238" s="354">
        <v>0</v>
      </c>
      <c r="BA238" s="354">
        <v>0</v>
      </c>
      <c r="BB238" s="354">
        <v>0</v>
      </c>
      <c r="BC238" s="354">
        <v>0</v>
      </c>
      <c r="BD238" s="354">
        <v>0</v>
      </c>
      <c r="BE238" s="354">
        <v>0</v>
      </c>
      <c r="BF238" s="354">
        <v>0</v>
      </c>
      <c r="BG238" s="354">
        <v>0</v>
      </c>
      <c r="BH238" s="354">
        <v>0</v>
      </c>
      <c r="BI238" s="354">
        <v>0</v>
      </c>
      <c r="BJ238" s="354">
        <v>0</v>
      </c>
      <c r="BK238" s="354">
        <v>0</v>
      </c>
      <c r="BL238" s="354">
        <v>0</v>
      </c>
      <c r="BM238" s="354">
        <v>0</v>
      </c>
      <c r="BN238" s="354">
        <v>0</v>
      </c>
      <c r="BO238" s="354">
        <v>0</v>
      </c>
      <c r="BP238" s="354">
        <v>0</v>
      </c>
      <c r="BQ238" s="354">
        <v>0</v>
      </c>
      <c r="BR238" s="354">
        <v>0</v>
      </c>
      <c r="BS238" s="354">
        <v>0</v>
      </c>
      <c r="BT238" s="354">
        <v>0</v>
      </c>
      <c r="BU238" s="354">
        <v>0</v>
      </c>
      <c r="BV238" s="354">
        <v>0</v>
      </c>
      <c r="BW238" s="354">
        <v>0</v>
      </c>
      <c r="BX238" s="354">
        <v>0</v>
      </c>
      <c r="BY238" s="354">
        <v>0</v>
      </c>
      <c r="BZ238" s="354">
        <v>0</v>
      </c>
      <c r="CA238" s="354">
        <v>0</v>
      </c>
      <c r="CB238" s="354">
        <v>0</v>
      </c>
      <c r="CC238" s="354">
        <v>0</v>
      </c>
      <c r="CD238" s="354">
        <v>0</v>
      </c>
      <c r="CE238" s="354">
        <v>0</v>
      </c>
      <c r="CF238" s="354">
        <v>0</v>
      </c>
      <c r="CG238" s="354">
        <v>0</v>
      </c>
      <c r="CH238" s="354">
        <v>0</v>
      </c>
      <c r="CI238" s="354">
        <v>0</v>
      </c>
      <c r="CJ238" s="354">
        <v>0</v>
      </c>
      <c r="CK238" s="354">
        <v>0</v>
      </c>
      <c r="CL238" s="354">
        <v>0</v>
      </c>
      <c r="CM238" s="354"/>
      <c r="CN238" s="354"/>
      <c r="CO238" s="354"/>
      <c r="CP238" s="354"/>
      <c r="CQ238" s="354"/>
      <c r="CR238" s="354"/>
      <c r="CS238" s="354"/>
      <c r="CT238" s="354"/>
      <c r="CU238" s="354"/>
      <c r="CV238" s="354"/>
      <c r="CW238" s="354"/>
      <c r="CX238" s="354"/>
      <c r="CY238" s="354"/>
      <c r="CZ238" s="354"/>
      <c r="DA238" s="354"/>
      <c r="DB238" s="354"/>
      <c r="DC238" s="354"/>
      <c r="DD238" s="354"/>
      <c r="DE238" s="354"/>
      <c r="DF238" s="354"/>
      <c r="DG238" s="354"/>
      <c r="DH238" s="354"/>
      <c r="DI238" s="354"/>
      <c r="DJ238" s="354"/>
      <c r="DK238" s="354"/>
      <c r="DL238" s="354"/>
      <c r="DM238" s="354"/>
      <c r="DN238" s="354"/>
      <c r="DO238" s="354"/>
      <c r="DP238" s="354"/>
      <c r="DQ238" s="354"/>
      <c r="DR238" s="354"/>
      <c r="DS238" s="354"/>
      <c r="DT238" s="354"/>
      <c r="DU238" s="354"/>
      <c r="DV238" s="354"/>
      <c r="DW238" s="543">
        <f t="shared" si="35"/>
        <v>0</v>
      </c>
      <c r="DX238" s="858">
        <f>DW238+DW239+DW240</f>
        <v>5716.9570880000001</v>
      </c>
      <c r="DY238" s="704">
        <f>+DX238*1000000</f>
        <v>5716957088</v>
      </c>
      <c r="DZ238" s="870">
        <f>+DY238-D238</f>
        <v>0</v>
      </c>
      <c r="EA238" s="873" t="str">
        <f>VLOOKUP(POA!$B238,'Detalle Plan de Adquisiciones'!$G$6:$AF$66,23,0)</f>
        <v>N/A</v>
      </c>
      <c r="EB238" s="859" t="str">
        <f>VLOOKUP(POA!$B238,'Detalle Plan de Adquisiciones'!$G$6:$AF$66,25,0)</f>
        <v>N/A</v>
      </c>
      <c r="EC238" s="859" t="e">
        <f>EB238+30</f>
        <v>#VALUE!</v>
      </c>
      <c r="ED238" s="859" t="e">
        <f>CONCATENATE(MONTH(EA238),"-",YEAR(EA238))</f>
        <v>#VALUE!</v>
      </c>
      <c r="EE238" s="859" t="e">
        <f>CONCATENATE(MONTH(EB238),"-",YEAR(EB238))</f>
        <v>#VALUE!</v>
      </c>
      <c r="EF238" s="861" t="e">
        <f>CONCATENATE(MONTH(EC238),"-",YEAR(EC238))</f>
        <v>#VALUE!</v>
      </c>
      <c r="EG238" s="1105" t="e">
        <f>+YEAR(EA238)</f>
        <v>#VALUE!</v>
      </c>
      <c r="EH238" s="393">
        <f>+DY238</f>
        <v>5716957088</v>
      </c>
      <c r="EI238" s="858">
        <f>+DW238+DW239+DW240</f>
        <v>5716.9570880000001</v>
      </c>
      <c r="EJ238" s="877">
        <f>+D238/1000000-EI238</f>
        <v>0</v>
      </c>
      <c r="ER238" s="497"/>
    </row>
    <row r="239" spans="1:148" s="278" customFormat="1" outlineLevel="2" x14ac:dyDescent="0.2">
      <c r="A239" s="906"/>
      <c r="B239" s="886"/>
      <c r="C239" s="886"/>
      <c r="D239" s="1076"/>
      <c r="E239" s="926"/>
      <c r="F239" s="311" t="s">
        <v>210</v>
      </c>
      <c r="G239" s="363">
        <v>0</v>
      </c>
      <c r="H239" s="363">
        <v>0</v>
      </c>
      <c r="I239" s="363">
        <v>0</v>
      </c>
      <c r="J239" s="363">
        <v>0</v>
      </c>
      <c r="K239" s="363">
        <v>0</v>
      </c>
      <c r="L239" s="363">
        <v>0</v>
      </c>
      <c r="M239" s="363">
        <v>0</v>
      </c>
      <c r="N239" s="363">
        <v>0</v>
      </c>
      <c r="O239" s="363">
        <v>0</v>
      </c>
      <c r="P239" s="363">
        <v>0</v>
      </c>
      <c r="Q239" s="363">
        <v>0</v>
      </c>
      <c r="R239" s="363">
        <v>0</v>
      </c>
      <c r="S239" s="363">
        <v>0</v>
      </c>
      <c r="T239" s="363">
        <v>0</v>
      </c>
      <c r="U239" s="363">
        <v>0</v>
      </c>
      <c r="V239" s="363">
        <v>0</v>
      </c>
      <c r="W239" s="363">
        <v>0</v>
      </c>
      <c r="X239" s="363">
        <v>0</v>
      </c>
      <c r="Y239" s="363">
        <v>0</v>
      </c>
      <c r="Z239" s="363">
        <v>0</v>
      </c>
      <c r="AA239" s="363">
        <v>0</v>
      </c>
      <c r="AB239" s="363">
        <v>0</v>
      </c>
      <c r="AC239" s="363">
        <v>0</v>
      </c>
      <c r="AD239" s="363">
        <v>0</v>
      </c>
      <c r="AE239" s="363">
        <v>0</v>
      </c>
      <c r="AF239" s="363">
        <v>0</v>
      </c>
      <c r="AG239" s="363">
        <v>0</v>
      </c>
      <c r="AH239" s="363">
        <v>0</v>
      </c>
      <c r="AI239" s="363">
        <v>0</v>
      </c>
      <c r="AJ239" s="363">
        <v>0</v>
      </c>
      <c r="AK239" s="363">
        <v>0</v>
      </c>
      <c r="AL239" s="363">
        <v>0</v>
      </c>
      <c r="AM239" s="363">
        <v>0</v>
      </c>
      <c r="AN239" s="363">
        <v>0</v>
      </c>
      <c r="AO239" s="363">
        <v>0</v>
      </c>
      <c r="AP239" s="363">
        <v>0</v>
      </c>
      <c r="AQ239" s="363">
        <v>0</v>
      </c>
      <c r="AR239" s="363">
        <v>0</v>
      </c>
      <c r="AS239" s="363">
        <v>0</v>
      </c>
      <c r="AT239" s="363">
        <v>0</v>
      </c>
      <c r="AU239" s="363">
        <v>0</v>
      </c>
      <c r="AV239" s="363">
        <v>0</v>
      </c>
      <c r="AW239" s="363">
        <v>0</v>
      </c>
      <c r="AX239" s="363">
        <v>0</v>
      </c>
      <c r="AY239" s="363">
        <v>0</v>
      </c>
      <c r="AZ239" s="363">
        <v>0</v>
      </c>
      <c r="BA239" s="363">
        <v>0</v>
      </c>
      <c r="BB239" s="363">
        <v>0</v>
      </c>
      <c r="BC239" s="363">
        <v>0</v>
      </c>
      <c r="BD239" s="363">
        <v>0</v>
      </c>
      <c r="BE239" s="363">
        <v>0</v>
      </c>
      <c r="BF239" s="363">
        <v>0</v>
      </c>
      <c r="BG239" s="363">
        <v>0</v>
      </c>
      <c r="BH239" s="363">
        <v>0</v>
      </c>
      <c r="BI239" s="363">
        <v>0</v>
      </c>
      <c r="BJ239" s="363">
        <v>0</v>
      </c>
      <c r="BK239" s="363">
        <v>0</v>
      </c>
      <c r="BL239" s="363">
        <v>0</v>
      </c>
      <c r="BM239" s="363">
        <v>0</v>
      </c>
      <c r="BN239" s="363">
        <v>0</v>
      </c>
      <c r="BO239" s="363">
        <v>0</v>
      </c>
      <c r="BP239" s="363">
        <v>0</v>
      </c>
      <c r="BQ239" s="363">
        <v>0</v>
      </c>
      <c r="BR239" s="363">
        <v>0</v>
      </c>
      <c r="BS239" s="363">
        <v>0</v>
      </c>
      <c r="BT239" s="363">
        <v>0</v>
      </c>
      <c r="BU239" s="363">
        <v>0</v>
      </c>
      <c r="BV239" s="363">
        <v>0</v>
      </c>
      <c r="BW239" s="363">
        <v>0</v>
      </c>
      <c r="BX239" s="363">
        <v>0</v>
      </c>
      <c r="BY239" s="363">
        <v>0</v>
      </c>
      <c r="BZ239" s="363">
        <v>0</v>
      </c>
      <c r="CA239" s="363">
        <v>0</v>
      </c>
      <c r="CB239" s="363">
        <v>0</v>
      </c>
      <c r="CC239" s="363">
        <v>0</v>
      </c>
      <c r="CD239" s="363">
        <v>0</v>
      </c>
      <c r="CE239" s="363">
        <v>0</v>
      </c>
      <c r="CF239" s="363">
        <v>0</v>
      </c>
      <c r="CG239" s="363">
        <v>0</v>
      </c>
      <c r="CH239" s="363">
        <v>0</v>
      </c>
      <c r="CI239" s="363">
        <v>0</v>
      </c>
      <c r="CJ239" s="363">
        <v>0</v>
      </c>
      <c r="CK239" s="363">
        <v>0</v>
      </c>
      <c r="CL239" s="363">
        <v>0</v>
      </c>
      <c r="CM239" s="363"/>
      <c r="CN239" s="363"/>
      <c r="CO239" s="363"/>
      <c r="CP239" s="363"/>
      <c r="CQ239" s="363"/>
      <c r="CR239" s="363"/>
      <c r="CS239" s="363"/>
      <c r="CT239" s="363"/>
      <c r="CU239" s="363"/>
      <c r="CV239" s="363"/>
      <c r="CW239" s="363"/>
      <c r="CX239" s="363"/>
      <c r="CY239" s="363"/>
      <c r="CZ239" s="363"/>
      <c r="DA239" s="363"/>
      <c r="DB239" s="363"/>
      <c r="DC239" s="363"/>
      <c r="DD239" s="363"/>
      <c r="DE239" s="363"/>
      <c r="DF239" s="363"/>
      <c r="DG239" s="363"/>
      <c r="DH239" s="363"/>
      <c r="DI239" s="363"/>
      <c r="DJ239" s="363"/>
      <c r="DK239" s="363"/>
      <c r="DL239" s="363"/>
      <c r="DM239" s="363"/>
      <c r="DN239" s="363"/>
      <c r="DO239" s="363"/>
      <c r="DP239" s="363"/>
      <c r="DQ239" s="363"/>
      <c r="DR239" s="363"/>
      <c r="DS239" s="363"/>
      <c r="DT239" s="363"/>
      <c r="DU239" s="363"/>
      <c r="DV239" s="363"/>
      <c r="DW239" s="544">
        <f t="shared" si="35"/>
        <v>0</v>
      </c>
      <c r="DX239" s="858"/>
      <c r="DY239" s="705"/>
      <c r="DZ239" s="871"/>
      <c r="EA239" s="873"/>
      <c r="EB239" s="859"/>
      <c r="EC239" s="859"/>
      <c r="ED239" s="859"/>
      <c r="EE239" s="859"/>
      <c r="EF239" s="861"/>
      <c r="EG239" s="1106"/>
      <c r="EI239" s="858"/>
      <c r="EJ239" s="877"/>
      <c r="ER239" s="497"/>
    </row>
    <row r="240" spans="1:148" s="278" customFormat="1" ht="12.75" outlineLevel="2" thickBot="1" x14ac:dyDescent="0.25">
      <c r="A240" s="907"/>
      <c r="B240" s="908"/>
      <c r="C240" s="908"/>
      <c r="D240" s="1077"/>
      <c r="E240" s="927"/>
      <c r="F240" s="313" t="s">
        <v>211</v>
      </c>
      <c r="G240" s="387">
        <v>5174.2692079999997</v>
      </c>
      <c r="H240" s="387">
        <v>542.6878800000004</v>
      </c>
      <c r="I240" s="387">
        <v>0</v>
      </c>
      <c r="J240" s="387">
        <v>0</v>
      </c>
      <c r="K240" s="387">
        <v>0</v>
      </c>
      <c r="L240" s="387">
        <v>0</v>
      </c>
      <c r="M240" s="387">
        <v>0</v>
      </c>
      <c r="N240" s="387">
        <v>0</v>
      </c>
      <c r="O240" s="387">
        <v>0</v>
      </c>
      <c r="P240" s="387">
        <v>0</v>
      </c>
      <c r="Q240" s="387">
        <v>0</v>
      </c>
      <c r="R240" s="387">
        <v>0</v>
      </c>
      <c r="S240" s="387">
        <v>0</v>
      </c>
      <c r="T240" s="387">
        <v>0</v>
      </c>
      <c r="U240" s="387">
        <v>0</v>
      </c>
      <c r="V240" s="387">
        <v>0</v>
      </c>
      <c r="W240" s="387">
        <v>0</v>
      </c>
      <c r="X240" s="387">
        <v>0</v>
      </c>
      <c r="Y240" s="387">
        <v>0</v>
      </c>
      <c r="Z240" s="387">
        <v>0</v>
      </c>
      <c r="AA240" s="387">
        <v>0</v>
      </c>
      <c r="AB240" s="387">
        <v>0</v>
      </c>
      <c r="AC240" s="387">
        <v>0</v>
      </c>
      <c r="AD240" s="387">
        <v>0</v>
      </c>
      <c r="AE240" s="387">
        <v>0</v>
      </c>
      <c r="AF240" s="387">
        <v>0</v>
      </c>
      <c r="AG240" s="387">
        <v>0</v>
      </c>
      <c r="AH240" s="387">
        <v>0</v>
      </c>
      <c r="AI240" s="387">
        <v>0</v>
      </c>
      <c r="AJ240" s="387">
        <v>0</v>
      </c>
      <c r="AK240" s="387">
        <v>0</v>
      </c>
      <c r="AL240" s="387">
        <v>0</v>
      </c>
      <c r="AM240" s="387">
        <v>0</v>
      </c>
      <c r="AN240" s="387">
        <v>0</v>
      </c>
      <c r="AO240" s="387">
        <v>0</v>
      </c>
      <c r="AP240" s="387">
        <v>0</v>
      </c>
      <c r="AQ240" s="387">
        <v>0</v>
      </c>
      <c r="AR240" s="387">
        <v>0</v>
      </c>
      <c r="AS240" s="387">
        <v>0</v>
      </c>
      <c r="AT240" s="387">
        <v>0</v>
      </c>
      <c r="AU240" s="387">
        <v>0</v>
      </c>
      <c r="AV240" s="387">
        <v>0</v>
      </c>
      <c r="AW240" s="387">
        <v>0</v>
      </c>
      <c r="AX240" s="387">
        <v>0</v>
      </c>
      <c r="AY240" s="387">
        <v>0</v>
      </c>
      <c r="AZ240" s="387">
        <v>0</v>
      </c>
      <c r="BA240" s="387">
        <v>0</v>
      </c>
      <c r="BB240" s="387">
        <v>0</v>
      </c>
      <c r="BC240" s="387">
        <v>0</v>
      </c>
      <c r="BD240" s="387">
        <v>0</v>
      </c>
      <c r="BE240" s="387">
        <v>0</v>
      </c>
      <c r="BF240" s="387">
        <v>0</v>
      </c>
      <c r="BG240" s="387">
        <v>0</v>
      </c>
      <c r="BH240" s="387">
        <v>0</v>
      </c>
      <c r="BI240" s="387">
        <v>0</v>
      </c>
      <c r="BJ240" s="387">
        <v>0</v>
      </c>
      <c r="BK240" s="387">
        <v>0</v>
      </c>
      <c r="BL240" s="387">
        <v>0</v>
      </c>
      <c r="BM240" s="387">
        <v>0</v>
      </c>
      <c r="BN240" s="387">
        <v>0</v>
      </c>
      <c r="BO240" s="387">
        <v>0</v>
      </c>
      <c r="BP240" s="387">
        <v>0</v>
      </c>
      <c r="BQ240" s="387">
        <v>0</v>
      </c>
      <c r="BR240" s="387">
        <v>0</v>
      </c>
      <c r="BS240" s="387">
        <v>0</v>
      </c>
      <c r="BT240" s="387">
        <v>0</v>
      </c>
      <c r="BU240" s="387">
        <v>0</v>
      </c>
      <c r="BV240" s="387">
        <v>0</v>
      </c>
      <c r="BW240" s="387">
        <v>0</v>
      </c>
      <c r="BX240" s="387">
        <v>0</v>
      </c>
      <c r="BY240" s="387">
        <v>0</v>
      </c>
      <c r="BZ240" s="387">
        <v>0</v>
      </c>
      <c r="CA240" s="387">
        <v>0</v>
      </c>
      <c r="CB240" s="387">
        <v>0</v>
      </c>
      <c r="CC240" s="387">
        <v>0</v>
      </c>
      <c r="CD240" s="387">
        <v>0</v>
      </c>
      <c r="CE240" s="387">
        <v>0</v>
      </c>
      <c r="CF240" s="387">
        <v>0</v>
      </c>
      <c r="CG240" s="387">
        <v>0</v>
      </c>
      <c r="CH240" s="387">
        <v>0</v>
      </c>
      <c r="CI240" s="387">
        <v>0</v>
      </c>
      <c r="CJ240" s="387">
        <v>0</v>
      </c>
      <c r="CK240" s="387">
        <v>0</v>
      </c>
      <c r="CL240" s="387">
        <v>0</v>
      </c>
      <c r="CM240" s="387"/>
      <c r="CN240" s="387"/>
      <c r="CO240" s="387"/>
      <c r="CP240" s="387"/>
      <c r="CQ240" s="387"/>
      <c r="CR240" s="387"/>
      <c r="CS240" s="387"/>
      <c r="CT240" s="387"/>
      <c r="CU240" s="387"/>
      <c r="CV240" s="387"/>
      <c r="CW240" s="387"/>
      <c r="CX240" s="387"/>
      <c r="CY240" s="387"/>
      <c r="CZ240" s="387"/>
      <c r="DA240" s="387"/>
      <c r="DB240" s="387"/>
      <c r="DC240" s="387"/>
      <c r="DD240" s="387"/>
      <c r="DE240" s="387"/>
      <c r="DF240" s="387"/>
      <c r="DG240" s="387"/>
      <c r="DH240" s="387"/>
      <c r="DI240" s="387"/>
      <c r="DJ240" s="387"/>
      <c r="DK240" s="387"/>
      <c r="DL240" s="387"/>
      <c r="DM240" s="387"/>
      <c r="DN240" s="387"/>
      <c r="DO240" s="387"/>
      <c r="DP240" s="387"/>
      <c r="DQ240" s="387"/>
      <c r="DR240" s="387"/>
      <c r="DS240" s="387"/>
      <c r="DT240" s="387"/>
      <c r="DU240" s="387"/>
      <c r="DV240" s="387"/>
      <c r="DW240" s="545">
        <f t="shared" si="35"/>
        <v>5716.9570880000001</v>
      </c>
      <c r="DX240" s="858"/>
      <c r="DY240" s="706"/>
      <c r="DZ240" s="872"/>
      <c r="EA240" s="873"/>
      <c r="EB240" s="859"/>
      <c r="EC240" s="859"/>
      <c r="ED240" s="859"/>
      <c r="EE240" s="859"/>
      <c r="EF240" s="861"/>
      <c r="EG240" s="1107"/>
      <c r="EI240" s="858"/>
      <c r="EJ240" s="877"/>
      <c r="ER240" s="497"/>
    </row>
    <row r="241" spans="1:148" s="278" customFormat="1" ht="24" outlineLevel="2" x14ac:dyDescent="0.2">
      <c r="A241" s="910" t="s">
        <v>557</v>
      </c>
      <c r="B241" s="885" t="s">
        <v>333</v>
      </c>
      <c r="C241" s="885"/>
      <c r="D241" s="1078">
        <f>+IFERROR(VLOOKUP(B241,'Detalle Plan de Adquisiciones'!$G$6:$M$66,7,FALSE),0)</f>
        <v>4813231934</v>
      </c>
      <c r="E241" s="1080" t="str">
        <f>+'Detalle Plan de Adquisiciones'!F42</f>
        <v>PRIMERA ETAPA PARA LA RECONSTRUCCIÓN Y MEJORAMIENTO DE LA CALLE 27 ENTRE LA AVENIDA PRIMERA Y LA AVENIDA CIRCUNVALAR</v>
      </c>
      <c r="F241" s="316" t="s">
        <v>410</v>
      </c>
      <c r="G241" s="383">
        <v>0</v>
      </c>
      <c r="H241" s="383">
        <v>0</v>
      </c>
      <c r="I241" s="383">
        <v>0</v>
      </c>
      <c r="J241" s="383">
        <v>0</v>
      </c>
      <c r="K241" s="383">
        <v>0</v>
      </c>
      <c r="L241" s="383">
        <v>0</v>
      </c>
      <c r="M241" s="383">
        <v>0</v>
      </c>
      <c r="N241" s="383">
        <v>0</v>
      </c>
      <c r="O241" s="383">
        <v>0</v>
      </c>
      <c r="P241" s="383">
        <v>0</v>
      </c>
      <c r="Q241" s="383">
        <v>0</v>
      </c>
      <c r="R241" s="383">
        <v>0</v>
      </c>
      <c r="S241" s="383">
        <v>0</v>
      </c>
      <c r="T241" s="383">
        <v>0</v>
      </c>
      <c r="U241" s="383">
        <v>0</v>
      </c>
      <c r="V241" s="383">
        <v>0</v>
      </c>
      <c r="W241" s="383">
        <v>0</v>
      </c>
      <c r="X241" s="383">
        <v>0</v>
      </c>
      <c r="Y241" s="383">
        <v>0</v>
      </c>
      <c r="Z241" s="383">
        <v>0</v>
      </c>
      <c r="AA241" s="383">
        <v>0</v>
      </c>
      <c r="AB241" s="383">
        <v>0</v>
      </c>
      <c r="AC241" s="383">
        <v>0</v>
      </c>
      <c r="AD241" s="383">
        <v>0</v>
      </c>
      <c r="AE241" s="383">
        <v>0</v>
      </c>
      <c r="AF241" s="383">
        <v>0</v>
      </c>
      <c r="AG241" s="383">
        <v>0</v>
      </c>
      <c r="AH241" s="383">
        <v>0</v>
      </c>
      <c r="AI241" s="383">
        <v>0</v>
      </c>
      <c r="AJ241" s="383">
        <v>0</v>
      </c>
      <c r="AK241" s="383">
        <v>0</v>
      </c>
      <c r="AL241" s="383">
        <v>0</v>
      </c>
      <c r="AM241" s="383">
        <v>0</v>
      </c>
      <c r="AN241" s="383">
        <v>0</v>
      </c>
      <c r="AO241" s="383">
        <v>0</v>
      </c>
      <c r="AP241" s="383">
        <v>0</v>
      </c>
      <c r="AQ241" s="383">
        <v>0</v>
      </c>
      <c r="AR241" s="383">
        <v>0</v>
      </c>
      <c r="AS241" s="383">
        <v>0</v>
      </c>
      <c r="AT241" s="383">
        <v>0</v>
      </c>
      <c r="AU241" s="383">
        <v>0</v>
      </c>
      <c r="AV241" s="383">
        <v>0</v>
      </c>
      <c r="AW241" s="383">
        <v>0</v>
      </c>
      <c r="AX241" s="383">
        <v>0</v>
      </c>
      <c r="AY241" s="383">
        <v>0</v>
      </c>
      <c r="AZ241" s="383">
        <v>0</v>
      </c>
      <c r="BA241" s="383">
        <v>0</v>
      </c>
      <c r="BB241" s="383">
        <v>0</v>
      </c>
      <c r="BC241" s="383">
        <v>0</v>
      </c>
      <c r="BD241" s="383">
        <v>0</v>
      </c>
      <c r="BE241" s="383">
        <v>0</v>
      </c>
      <c r="BF241" s="383">
        <v>0</v>
      </c>
      <c r="BG241" s="383">
        <v>0</v>
      </c>
      <c r="BH241" s="383">
        <v>0</v>
      </c>
      <c r="BI241" s="383">
        <v>0</v>
      </c>
      <c r="BJ241" s="383">
        <v>0</v>
      </c>
      <c r="BK241" s="383">
        <v>0</v>
      </c>
      <c r="BL241" s="383">
        <v>0</v>
      </c>
      <c r="BM241" s="383">
        <v>0</v>
      </c>
      <c r="BN241" s="383">
        <v>0</v>
      </c>
      <c r="BO241" s="383">
        <v>0</v>
      </c>
      <c r="BP241" s="383">
        <v>0</v>
      </c>
      <c r="BQ241" s="383">
        <v>0</v>
      </c>
      <c r="BR241" s="383">
        <v>0</v>
      </c>
      <c r="BS241" s="383">
        <v>0</v>
      </c>
      <c r="BT241" s="383">
        <v>0</v>
      </c>
      <c r="BU241" s="383">
        <v>0</v>
      </c>
      <c r="BV241" s="383">
        <v>0</v>
      </c>
      <c r="BW241" s="383">
        <v>0</v>
      </c>
      <c r="BX241" s="383">
        <v>0</v>
      </c>
      <c r="BY241" s="383">
        <v>0</v>
      </c>
      <c r="BZ241" s="383">
        <v>0</v>
      </c>
      <c r="CA241" s="383">
        <v>0</v>
      </c>
      <c r="CB241" s="383">
        <v>0</v>
      </c>
      <c r="CC241" s="383">
        <v>0</v>
      </c>
      <c r="CD241" s="383">
        <v>0</v>
      </c>
      <c r="CE241" s="383">
        <v>0</v>
      </c>
      <c r="CF241" s="383">
        <v>0</v>
      </c>
      <c r="CG241" s="383">
        <v>0</v>
      </c>
      <c r="CH241" s="383">
        <v>0</v>
      </c>
      <c r="CI241" s="383">
        <v>0</v>
      </c>
      <c r="CJ241" s="383">
        <v>0</v>
      </c>
      <c r="CK241" s="383">
        <v>0</v>
      </c>
      <c r="CL241" s="383">
        <v>0</v>
      </c>
      <c r="CM241" s="383"/>
      <c r="CN241" s="383"/>
      <c r="CO241" s="383"/>
      <c r="CP241" s="383"/>
      <c r="CQ241" s="383"/>
      <c r="CR241" s="383"/>
      <c r="CS241" s="383"/>
      <c r="CT241" s="383"/>
      <c r="CU241" s="383"/>
      <c r="CV241" s="383"/>
      <c r="CW241" s="383"/>
      <c r="CX241" s="383"/>
      <c r="CY241" s="383"/>
      <c r="CZ241" s="383"/>
      <c r="DA241" s="383"/>
      <c r="DB241" s="383"/>
      <c r="DC241" s="383"/>
      <c r="DD241" s="383"/>
      <c r="DE241" s="383"/>
      <c r="DF241" s="383"/>
      <c r="DG241" s="383"/>
      <c r="DH241" s="383"/>
      <c r="DI241" s="383"/>
      <c r="DJ241" s="383"/>
      <c r="DK241" s="383"/>
      <c r="DL241" s="383"/>
      <c r="DM241" s="383"/>
      <c r="DN241" s="383"/>
      <c r="DO241" s="383"/>
      <c r="DP241" s="383"/>
      <c r="DQ241" s="383"/>
      <c r="DR241" s="383"/>
      <c r="DS241" s="383"/>
      <c r="DT241" s="383"/>
      <c r="DU241" s="383"/>
      <c r="DV241" s="383"/>
      <c r="DW241" s="556">
        <f t="shared" si="35"/>
        <v>0</v>
      </c>
      <c r="DX241" s="858">
        <f>DW241+DW242+DW243</f>
        <v>4813.2319340000004</v>
      </c>
      <c r="DY241" s="704">
        <f>+DX241*1000000</f>
        <v>4813231934</v>
      </c>
      <c r="DZ241" s="870">
        <f>+DY241-D241</f>
        <v>0</v>
      </c>
      <c r="EA241" s="873" t="str">
        <f>VLOOKUP(POA!$B241,'Detalle Plan de Adquisiciones'!$G$6:$AF$66,23,0)</f>
        <v>N/A</v>
      </c>
      <c r="EB241" s="859" t="str">
        <f>VLOOKUP(POA!$B241,'Detalle Plan de Adquisiciones'!$G$6:$AF$66,25,0)</f>
        <v>N/A</v>
      </c>
      <c r="EC241" s="859" t="e">
        <f>EB241+30</f>
        <v>#VALUE!</v>
      </c>
      <c r="ED241" s="859" t="e">
        <f>CONCATENATE(MONTH(EA241),"-",YEAR(EA241))</f>
        <v>#VALUE!</v>
      </c>
      <c r="EE241" s="859" t="e">
        <f>CONCATENATE(MONTH(EB241),"-",YEAR(EB241))</f>
        <v>#VALUE!</v>
      </c>
      <c r="EF241" s="861" t="e">
        <f>CONCATENATE(MONTH(EC241),"-",YEAR(EC241))</f>
        <v>#VALUE!</v>
      </c>
      <c r="EG241" s="1105" t="e">
        <f>+YEAR(EA241)</f>
        <v>#VALUE!</v>
      </c>
      <c r="EH241" s="393">
        <f>+DY241</f>
        <v>4813231934</v>
      </c>
      <c r="EI241" s="858">
        <f>+DW241+DW242+DW243</f>
        <v>4813.2319340000004</v>
      </c>
      <c r="EJ241" s="877">
        <f>+D241/1000000-EI241</f>
        <v>0</v>
      </c>
      <c r="ER241" s="497"/>
    </row>
    <row r="242" spans="1:148" s="278" customFormat="1" outlineLevel="2" x14ac:dyDescent="0.2">
      <c r="A242" s="883"/>
      <c r="B242" s="886"/>
      <c r="C242" s="886"/>
      <c r="D242" s="1076"/>
      <c r="E242" s="926"/>
      <c r="F242" s="311" t="s">
        <v>210</v>
      </c>
      <c r="G242" s="363">
        <v>0</v>
      </c>
      <c r="H242" s="363">
        <v>0</v>
      </c>
      <c r="I242" s="363">
        <v>0</v>
      </c>
      <c r="J242" s="363">
        <v>0</v>
      </c>
      <c r="K242" s="363">
        <v>0</v>
      </c>
      <c r="L242" s="363">
        <v>0</v>
      </c>
      <c r="M242" s="363">
        <v>0</v>
      </c>
      <c r="N242" s="363">
        <v>0</v>
      </c>
      <c r="O242" s="363">
        <v>0</v>
      </c>
      <c r="P242" s="363">
        <v>0</v>
      </c>
      <c r="Q242" s="363">
        <v>0</v>
      </c>
      <c r="R242" s="363">
        <v>0</v>
      </c>
      <c r="S242" s="363">
        <v>0</v>
      </c>
      <c r="T242" s="363">
        <v>0</v>
      </c>
      <c r="U242" s="363">
        <v>0</v>
      </c>
      <c r="V242" s="363">
        <v>0</v>
      </c>
      <c r="W242" s="363">
        <v>0</v>
      </c>
      <c r="X242" s="363">
        <v>0</v>
      </c>
      <c r="Y242" s="363">
        <v>0</v>
      </c>
      <c r="Z242" s="363">
        <v>0</v>
      </c>
      <c r="AA242" s="363">
        <v>0</v>
      </c>
      <c r="AB242" s="363">
        <v>0</v>
      </c>
      <c r="AC242" s="363">
        <v>0</v>
      </c>
      <c r="AD242" s="363">
        <v>0</v>
      </c>
      <c r="AE242" s="363">
        <v>0</v>
      </c>
      <c r="AF242" s="363">
        <v>0</v>
      </c>
      <c r="AG242" s="363">
        <v>0</v>
      </c>
      <c r="AH242" s="363">
        <v>0</v>
      </c>
      <c r="AI242" s="363">
        <v>0</v>
      </c>
      <c r="AJ242" s="363">
        <v>0</v>
      </c>
      <c r="AK242" s="363">
        <v>0</v>
      </c>
      <c r="AL242" s="363">
        <v>0</v>
      </c>
      <c r="AM242" s="363">
        <v>0</v>
      </c>
      <c r="AN242" s="363">
        <v>0</v>
      </c>
      <c r="AO242" s="363">
        <v>0</v>
      </c>
      <c r="AP242" s="363">
        <v>0</v>
      </c>
      <c r="AQ242" s="363">
        <v>0</v>
      </c>
      <c r="AR242" s="363">
        <v>0</v>
      </c>
      <c r="AS242" s="363">
        <v>0</v>
      </c>
      <c r="AT242" s="363">
        <v>0</v>
      </c>
      <c r="AU242" s="363">
        <v>0</v>
      </c>
      <c r="AV242" s="363">
        <v>0</v>
      </c>
      <c r="AW242" s="363">
        <v>0</v>
      </c>
      <c r="AX242" s="363">
        <v>0</v>
      </c>
      <c r="AY242" s="363">
        <v>0</v>
      </c>
      <c r="AZ242" s="363">
        <v>0</v>
      </c>
      <c r="BA242" s="363">
        <v>0</v>
      </c>
      <c r="BB242" s="363">
        <v>0</v>
      </c>
      <c r="BC242" s="363">
        <v>0</v>
      </c>
      <c r="BD242" s="363">
        <v>0</v>
      </c>
      <c r="BE242" s="363">
        <v>0</v>
      </c>
      <c r="BF242" s="363">
        <v>0</v>
      </c>
      <c r="BG242" s="363">
        <v>0</v>
      </c>
      <c r="BH242" s="363">
        <v>0</v>
      </c>
      <c r="BI242" s="363">
        <v>0</v>
      </c>
      <c r="BJ242" s="363">
        <v>0</v>
      </c>
      <c r="BK242" s="363">
        <v>0</v>
      </c>
      <c r="BL242" s="363">
        <v>0</v>
      </c>
      <c r="BM242" s="363">
        <v>0</v>
      </c>
      <c r="BN242" s="363">
        <v>0</v>
      </c>
      <c r="BO242" s="363">
        <v>0</v>
      </c>
      <c r="BP242" s="363">
        <v>0</v>
      </c>
      <c r="BQ242" s="363">
        <v>0</v>
      </c>
      <c r="BR242" s="363">
        <v>0</v>
      </c>
      <c r="BS242" s="363">
        <v>0</v>
      </c>
      <c r="BT242" s="363">
        <v>0</v>
      </c>
      <c r="BU242" s="363">
        <v>0</v>
      </c>
      <c r="BV242" s="363">
        <v>0</v>
      </c>
      <c r="BW242" s="363">
        <v>0</v>
      </c>
      <c r="BX242" s="363">
        <v>0</v>
      </c>
      <c r="BY242" s="363">
        <v>0</v>
      </c>
      <c r="BZ242" s="363">
        <v>0</v>
      </c>
      <c r="CA242" s="363">
        <v>0</v>
      </c>
      <c r="CB242" s="363">
        <v>0</v>
      </c>
      <c r="CC242" s="363">
        <v>0</v>
      </c>
      <c r="CD242" s="363">
        <v>0</v>
      </c>
      <c r="CE242" s="363">
        <v>0</v>
      </c>
      <c r="CF242" s="363">
        <v>0</v>
      </c>
      <c r="CG242" s="363">
        <v>0</v>
      </c>
      <c r="CH242" s="363">
        <v>0</v>
      </c>
      <c r="CI242" s="363">
        <v>0</v>
      </c>
      <c r="CJ242" s="363">
        <v>0</v>
      </c>
      <c r="CK242" s="363">
        <v>0</v>
      </c>
      <c r="CL242" s="363">
        <v>0</v>
      </c>
      <c r="CM242" s="363"/>
      <c r="CN242" s="363"/>
      <c r="CO242" s="363"/>
      <c r="CP242" s="363"/>
      <c r="CQ242" s="363"/>
      <c r="CR242" s="363"/>
      <c r="CS242" s="363"/>
      <c r="CT242" s="363"/>
      <c r="CU242" s="363"/>
      <c r="CV242" s="363"/>
      <c r="CW242" s="363"/>
      <c r="CX242" s="363"/>
      <c r="CY242" s="363"/>
      <c r="CZ242" s="363"/>
      <c r="DA242" s="363"/>
      <c r="DB242" s="363"/>
      <c r="DC242" s="363"/>
      <c r="DD242" s="363"/>
      <c r="DE242" s="363"/>
      <c r="DF242" s="363"/>
      <c r="DG242" s="363"/>
      <c r="DH242" s="363"/>
      <c r="DI242" s="363"/>
      <c r="DJ242" s="363"/>
      <c r="DK242" s="363"/>
      <c r="DL242" s="363"/>
      <c r="DM242" s="363"/>
      <c r="DN242" s="363"/>
      <c r="DO242" s="363"/>
      <c r="DP242" s="363"/>
      <c r="DQ242" s="363"/>
      <c r="DR242" s="363"/>
      <c r="DS242" s="363"/>
      <c r="DT242" s="363"/>
      <c r="DU242" s="363"/>
      <c r="DV242" s="363"/>
      <c r="DW242" s="544">
        <f t="shared" si="35"/>
        <v>0</v>
      </c>
      <c r="DX242" s="858"/>
      <c r="DY242" s="705"/>
      <c r="DZ242" s="871"/>
      <c r="EA242" s="873"/>
      <c r="EB242" s="859"/>
      <c r="EC242" s="859"/>
      <c r="ED242" s="859"/>
      <c r="EE242" s="859"/>
      <c r="EF242" s="861"/>
      <c r="EG242" s="1106"/>
      <c r="EI242" s="858"/>
      <c r="EJ242" s="877"/>
      <c r="ER242" s="497"/>
    </row>
    <row r="243" spans="1:148" s="278" customFormat="1" ht="12.75" outlineLevel="2" thickBot="1" x14ac:dyDescent="0.25">
      <c r="A243" s="884"/>
      <c r="B243" s="887"/>
      <c r="C243" s="887"/>
      <c r="D243" s="1079"/>
      <c r="E243" s="1081"/>
      <c r="F243" s="315" t="s">
        <v>211</v>
      </c>
      <c r="G243" s="364"/>
      <c r="H243" s="364">
        <v>4813.2319340000004</v>
      </c>
      <c r="I243" s="364">
        <v>0</v>
      </c>
      <c r="J243" s="364">
        <v>0</v>
      </c>
      <c r="K243" s="364">
        <v>0</v>
      </c>
      <c r="L243" s="364">
        <v>0</v>
      </c>
      <c r="M243" s="364">
        <v>0</v>
      </c>
      <c r="N243" s="364">
        <v>0</v>
      </c>
      <c r="O243" s="364">
        <v>0</v>
      </c>
      <c r="P243" s="364">
        <v>0</v>
      </c>
      <c r="Q243" s="364">
        <v>0</v>
      </c>
      <c r="R243" s="364">
        <v>0</v>
      </c>
      <c r="S243" s="364">
        <v>0</v>
      </c>
      <c r="T243" s="364">
        <v>0</v>
      </c>
      <c r="U243" s="364">
        <v>0</v>
      </c>
      <c r="V243" s="364">
        <v>0</v>
      </c>
      <c r="W243" s="364">
        <v>0</v>
      </c>
      <c r="X243" s="364">
        <v>0</v>
      </c>
      <c r="Y243" s="364">
        <v>0</v>
      </c>
      <c r="Z243" s="364">
        <v>0</v>
      </c>
      <c r="AA243" s="364">
        <v>0</v>
      </c>
      <c r="AB243" s="364">
        <v>0</v>
      </c>
      <c r="AC243" s="364">
        <v>0</v>
      </c>
      <c r="AD243" s="364">
        <v>0</v>
      </c>
      <c r="AE243" s="364">
        <v>0</v>
      </c>
      <c r="AF243" s="364">
        <v>0</v>
      </c>
      <c r="AG243" s="364">
        <v>0</v>
      </c>
      <c r="AH243" s="364">
        <v>0</v>
      </c>
      <c r="AI243" s="364">
        <v>0</v>
      </c>
      <c r="AJ243" s="364">
        <v>0</v>
      </c>
      <c r="AK243" s="364">
        <v>0</v>
      </c>
      <c r="AL243" s="364">
        <v>0</v>
      </c>
      <c r="AM243" s="364">
        <v>0</v>
      </c>
      <c r="AN243" s="364">
        <v>0</v>
      </c>
      <c r="AO243" s="364">
        <v>0</v>
      </c>
      <c r="AP243" s="364">
        <v>0</v>
      </c>
      <c r="AQ243" s="364">
        <v>0</v>
      </c>
      <c r="AR243" s="364">
        <v>0</v>
      </c>
      <c r="AS243" s="364">
        <v>0</v>
      </c>
      <c r="AT243" s="364">
        <v>0</v>
      </c>
      <c r="AU243" s="364">
        <v>0</v>
      </c>
      <c r="AV243" s="364">
        <v>0</v>
      </c>
      <c r="AW243" s="364">
        <v>0</v>
      </c>
      <c r="AX243" s="364">
        <v>0</v>
      </c>
      <c r="AY243" s="364">
        <v>0</v>
      </c>
      <c r="AZ243" s="364">
        <v>0</v>
      </c>
      <c r="BA243" s="364">
        <v>0</v>
      </c>
      <c r="BB243" s="364">
        <v>0</v>
      </c>
      <c r="BC243" s="363">
        <v>0</v>
      </c>
      <c r="BD243" s="363">
        <v>0</v>
      </c>
      <c r="BE243" s="363">
        <v>0</v>
      </c>
      <c r="BF243" s="363">
        <v>0</v>
      </c>
      <c r="BG243" s="363">
        <v>0</v>
      </c>
      <c r="BH243" s="363">
        <v>0</v>
      </c>
      <c r="BI243" s="363">
        <v>0</v>
      </c>
      <c r="BJ243" s="363">
        <v>0</v>
      </c>
      <c r="BK243" s="363">
        <v>0</v>
      </c>
      <c r="BL243" s="363">
        <v>0</v>
      </c>
      <c r="BM243" s="363">
        <v>0</v>
      </c>
      <c r="BN243" s="363">
        <v>0</v>
      </c>
      <c r="BO243" s="363">
        <v>0</v>
      </c>
      <c r="BP243" s="363">
        <v>0</v>
      </c>
      <c r="BQ243" s="363">
        <v>0</v>
      </c>
      <c r="BR243" s="363">
        <v>0</v>
      </c>
      <c r="BS243" s="363">
        <v>0</v>
      </c>
      <c r="BT243" s="363">
        <v>0</v>
      </c>
      <c r="BU243" s="363">
        <v>0</v>
      </c>
      <c r="BV243" s="363">
        <v>0</v>
      </c>
      <c r="BW243" s="363">
        <v>0</v>
      </c>
      <c r="BX243" s="363">
        <v>0</v>
      </c>
      <c r="BY243" s="363">
        <v>0</v>
      </c>
      <c r="BZ243" s="363">
        <v>0</v>
      </c>
      <c r="CA243" s="363">
        <v>0</v>
      </c>
      <c r="CB243" s="363">
        <v>0</v>
      </c>
      <c r="CC243" s="363">
        <v>0</v>
      </c>
      <c r="CD243" s="363">
        <v>0</v>
      </c>
      <c r="CE243" s="363">
        <v>0</v>
      </c>
      <c r="CF243" s="363">
        <v>0</v>
      </c>
      <c r="CG243" s="363">
        <v>0</v>
      </c>
      <c r="CH243" s="363">
        <v>0</v>
      </c>
      <c r="CI243" s="363">
        <v>0</v>
      </c>
      <c r="CJ243" s="363">
        <v>0</v>
      </c>
      <c r="CK243" s="363">
        <v>0</v>
      </c>
      <c r="CL243" s="363">
        <v>0</v>
      </c>
      <c r="CM243" s="363"/>
      <c r="CN243" s="363"/>
      <c r="CO243" s="363"/>
      <c r="CP243" s="363"/>
      <c r="CQ243" s="363"/>
      <c r="CR243" s="363"/>
      <c r="CS243" s="363"/>
      <c r="CT243" s="363"/>
      <c r="CU243" s="363"/>
      <c r="CV243" s="363"/>
      <c r="CW243" s="363"/>
      <c r="CX243" s="363"/>
      <c r="CY243" s="363"/>
      <c r="CZ243" s="363"/>
      <c r="DA243" s="363"/>
      <c r="DB243" s="363"/>
      <c r="DC243" s="363"/>
      <c r="DD243" s="363"/>
      <c r="DE243" s="363"/>
      <c r="DF243" s="363"/>
      <c r="DG243" s="363"/>
      <c r="DH243" s="363"/>
      <c r="DI243" s="363"/>
      <c r="DJ243" s="363"/>
      <c r="DK243" s="363"/>
      <c r="DL243" s="363"/>
      <c r="DM243" s="363"/>
      <c r="DN243" s="363"/>
      <c r="DO243" s="363"/>
      <c r="DP243" s="363"/>
      <c r="DQ243" s="363"/>
      <c r="DR243" s="363"/>
      <c r="DS243" s="363"/>
      <c r="DT243" s="363"/>
      <c r="DU243" s="363"/>
      <c r="DV243" s="363"/>
      <c r="DW243" s="545">
        <f t="shared" si="35"/>
        <v>4813.2319340000004</v>
      </c>
      <c r="DX243" s="858"/>
      <c r="DY243" s="706"/>
      <c r="DZ243" s="872"/>
      <c r="EA243" s="873"/>
      <c r="EB243" s="859"/>
      <c r="EC243" s="859"/>
      <c r="ED243" s="859"/>
      <c r="EE243" s="859"/>
      <c r="EF243" s="861"/>
      <c r="EG243" s="1107"/>
      <c r="EI243" s="858"/>
      <c r="EJ243" s="877"/>
      <c r="ER243" s="497"/>
    </row>
    <row r="244" spans="1:148" s="58" customFormat="1" ht="12.75" outlineLevel="2" thickBot="1" x14ac:dyDescent="0.25">
      <c r="A244" s="57"/>
      <c r="B244" s="57"/>
      <c r="C244" s="57"/>
      <c r="D244" s="583"/>
      <c r="E244" s="57"/>
      <c r="F244" s="57"/>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c r="DO244" s="76"/>
      <c r="DP244" s="76"/>
      <c r="DQ244" s="76"/>
      <c r="DR244" s="76"/>
      <c r="DS244" s="76"/>
      <c r="DT244" s="76"/>
      <c r="DU244" s="76"/>
      <c r="DV244" s="76"/>
      <c r="DW244" s="76"/>
      <c r="DX244" s="583"/>
      <c r="DY244" s="710"/>
      <c r="DZ244" s="583"/>
      <c r="EA244" s="583"/>
      <c r="EB244" s="583"/>
      <c r="EC244" s="583"/>
      <c r="ED244" s="583"/>
      <c r="EE244" s="331"/>
      <c r="EF244" s="332"/>
      <c r="EG244" s="515"/>
      <c r="EI244" s="537"/>
      <c r="EJ244" s="540"/>
      <c r="ER244" s="501"/>
    </row>
    <row r="245" spans="1:148" s="278" customFormat="1" ht="24" outlineLevel="2" x14ac:dyDescent="0.2">
      <c r="A245" s="924"/>
      <c r="B245" s="885" t="s">
        <v>192</v>
      </c>
      <c r="C245" s="911">
        <v>10</v>
      </c>
      <c r="D245" s="888">
        <f>+IFERROR(VLOOKUP(B245,'Detalle Plan de Adquisiciones'!$G$6:$M$66,7,FALSE),0)</f>
        <v>0</v>
      </c>
      <c r="E245" s="889" t="str">
        <f>+'Detalle Plan de Adquisiciones'!F51</f>
        <v>PATIO 2</v>
      </c>
      <c r="F245" s="316" t="s">
        <v>410</v>
      </c>
      <c r="G245" s="383">
        <v>0</v>
      </c>
      <c r="H245" s="383">
        <v>0</v>
      </c>
      <c r="I245" s="383">
        <v>0</v>
      </c>
      <c r="J245" s="383">
        <v>0</v>
      </c>
      <c r="K245" s="383">
        <v>0</v>
      </c>
      <c r="L245" s="383">
        <v>0</v>
      </c>
      <c r="M245" s="383">
        <v>0</v>
      </c>
      <c r="N245" s="383">
        <v>0</v>
      </c>
      <c r="O245" s="383">
        <v>0</v>
      </c>
      <c r="P245" s="383">
        <v>0</v>
      </c>
      <c r="Q245" s="383">
        <v>0</v>
      </c>
      <c r="R245" s="383">
        <v>0</v>
      </c>
      <c r="S245" s="383">
        <v>0</v>
      </c>
      <c r="T245" s="383">
        <v>0</v>
      </c>
      <c r="U245" s="383">
        <v>0</v>
      </c>
      <c r="V245" s="383">
        <v>0</v>
      </c>
      <c r="W245" s="383">
        <v>0</v>
      </c>
      <c r="X245" s="383">
        <v>0</v>
      </c>
      <c r="Y245" s="383">
        <v>0</v>
      </c>
      <c r="Z245" s="383">
        <v>0</v>
      </c>
      <c r="AA245" s="383">
        <v>0</v>
      </c>
      <c r="AB245" s="383">
        <v>0</v>
      </c>
      <c r="AC245" s="383">
        <v>0</v>
      </c>
      <c r="AD245" s="383">
        <v>0</v>
      </c>
      <c r="AE245" s="383">
        <v>0</v>
      </c>
      <c r="AF245" s="383">
        <v>0</v>
      </c>
      <c r="AG245" s="383">
        <v>0</v>
      </c>
      <c r="AH245" s="383">
        <v>0</v>
      </c>
      <c r="AI245" s="383">
        <v>0</v>
      </c>
      <c r="AJ245" s="383">
        <v>0</v>
      </c>
      <c r="AK245" s="383">
        <v>0</v>
      </c>
      <c r="AL245" s="383">
        <v>0</v>
      </c>
      <c r="AM245" s="383">
        <v>0</v>
      </c>
      <c r="AN245" s="383">
        <v>0</v>
      </c>
      <c r="AO245" s="383">
        <v>0</v>
      </c>
      <c r="AP245" s="383">
        <v>0</v>
      </c>
      <c r="AQ245" s="383">
        <v>0</v>
      </c>
      <c r="AR245" s="383">
        <v>0</v>
      </c>
      <c r="AS245" s="383">
        <v>0</v>
      </c>
      <c r="AT245" s="383">
        <v>0</v>
      </c>
      <c r="AU245" s="383">
        <v>0</v>
      </c>
      <c r="AV245" s="383">
        <v>0</v>
      </c>
      <c r="AW245" s="383">
        <v>0</v>
      </c>
      <c r="AX245" s="383">
        <v>0</v>
      </c>
      <c r="AY245" s="383">
        <v>0</v>
      </c>
      <c r="AZ245" s="383">
        <v>0</v>
      </c>
      <c r="BA245" s="383">
        <v>0</v>
      </c>
      <c r="BB245" s="383">
        <v>0</v>
      </c>
      <c r="BC245" s="383">
        <v>0</v>
      </c>
      <c r="BD245" s="383">
        <v>0</v>
      </c>
      <c r="BE245" s="383">
        <v>0</v>
      </c>
      <c r="BF245" s="383">
        <v>0</v>
      </c>
      <c r="BG245" s="383">
        <v>0</v>
      </c>
      <c r="BH245" s="383">
        <v>0</v>
      </c>
      <c r="BI245" s="383">
        <v>0</v>
      </c>
      <c r="BJ245" s="383">
        <v>0</v>
      </c>
      <c r="BK245" s="383">
        <v>0</v>
      </c>
      <c r="BL245" s="383">
        <v>0</v>
      </c>
      <c r="BM245" s="383">
        <v>0</v>
      </c>
      <c r="BN245" s="383">
        <v>0</v>
      </c>
      <c r="BO245" s="383">
        <v>0</v>
      </c>
      <c r="BP245" s="383">
        <v>0</v>
      </c>
      <c r="BQ245" s="383">
        <v>0</v>
      </c>
      <c r="BR245" s="383">
        <v>0</v>
      </c>
      <c r="BS245" s="383">
        <v>0</v>
      </c>
      <c r="BT245" s="383">
        <v>0</v>
      </c>
      <c r="BU245" s="383">
        <v>0</v>
      </c>
      <c r="BV245" s="383">
        <v>0</v>
      </c>
      <c r="BW245" s="383">
        <v>0</v>
      </c>
      <c r="BX245" s="383">
        <v>0</v>
      </c>
      <c r="BY245" s="383">
        <v>0</v>
      </c>
      <c r="BZ245" s="383">
        <v>0</v>
      </c>
      <c r="CA245" s="383">
        <v>0</v>
      </c>
      <c r="CB245" s="383">
        <v>0</v>
      </c>
      <c r="CC245" s="383">
        <v>0</v>
      </c>
      <c r="CD245" s="383">
        <v>0</v>
      </c>
      <c r="CE245" s="383">
        <v>0</v>
      </c>
      <c r="CF245" s="383">
        <v>0</v>
      </c>
      <c r="CG245" s="383">
        <v>0</v>
      </c>
      <c r="CH245" s="383">
        <v>0</v>
      </c>
      <c r="CI245" s="383">
        <v>0</v>
      </c>
      <c r="CJ245" s="383">
        <v>0</v>
      </c>
      <c r="CK245" s="383">
        <v>0</v>
      </c>
      <c r="CL245" s="383">
        <v>0</v>
      </c>
      <c r="CM245" s="383">
        <v>0</v>
      </c>
      <c r="CN245" s="383">
        <v>0</v>
      </c>
      <c r="CO245" s="383">
        <v>0</v>
      </c>
      <c r="CP245" s="383">
        <v>0</v>
      </c>
      <c r="CQ245" s="383">
        <v>0</v>
      </c>
      <c r="CR245" s="383">
        <v>0</v>
      </c>
      <c r="CS245" s="383">
        <v>0</v>
      </c>
      <c r="CT245" s="383">
        <v>0</v>
      </c>
      <c r="CU245" s="383">
        <v>0</v>
      </c>
      <c r="CV245" s="383">
        <v>0</v>
      </c>
      <c r="CW245" s="383">
        <v>0</v>
      </c>
      <c r="CX245" s="383">
        <v>0</v>
      </c>
      <c r="CY245" s="383">
        <v>0</v>
      </c>
      <c r="CZ245" s="383">
        <v>0</v>
      </c>
      <c r="DA245" s="383">
        <v>0</v>
      </c>
      <c r="DB245" s="383">
        <v>0</v>
      </c>
      <c r="DC245" s="383">
        <v>0</v>
      </c>
      <c r="DD245" s="383">
        <v>0</v>
      </c>
      <c r="DE245" s="383">
        <v>0</v>
      </c>
      <c r="DF245" s="383">
        <v>0</v>
      </c>
      <c r="DG245" s="383">
        <v>0</v>
      </c>
      <c r="DH245" s="383">
        <v>0</v>
      </c>
      <c r="DI245" s="383">
        <v>0</v>
      </c>
      <c r="DJ245" s="383">
        <v>0</v>
      </c>
      <c r="DK245" s="383">
        <v>0</v>
      </c>
      <c r="DL245" s="383">
        <v>0</v>
      </c>
      <c r="DM245" s="383">
        <v>0</v>
      </c>
      <c r="DN245" s="383">
        <v>0</v>
      </c>
      <c r="DO245" s="383">
        <v>0</v>
      </c>
      <c r="DP245" s="383">
        <v>0</v>
      </c>
      <c r="DQ245" s="383">
        <v>0</v>
      </c>
      <c r="DR245" s="383">
        <v>0</v>
      </c>
      <c r="DS245" s="383">
        <v>0</v>
      </c>
      <c r="DT245" s="383">
        <v>0</v>
      </c>
      <c r="DU245" s="383">
        <v>0</v>
      </c>
      <c r="DV245" s="383">
        <v>0</v>
      </c>
      <c r="DW245" s="556">
        <f t="shared" ref="DW245:DW292" si="36">SUM(G245:DV245)</f>
        <v>0</v>
      </c>
      <c r="DX245" s="858">
        <f>DW245+DW246+DW247</f>
        <v>0</v>
      </c>
      <c r="DY245" s="704">
        <f>+DX245*1000000</f>
        <v>0</v>
      </c>
      <c r="DZ245" s="870">
        <f>+DY245-D245</f>
        <v>0</v>
      </c>
      <c r="EA245" s="873" t="str">
        <f>VLOOKUP(POA!$B245,'Detalle Plan de Adquisiciones'!$G$6:$AF$66,23,0)</f>
        <v>N/A</v>
      </c>
      <c r="EB245" s="859" t="str">
        <f>VLOOKUP(POA!$B245,'Detalle Plan de Adquisiciones'!$G$6:$AF$66,25,0)</f>
        <v>N/A</v>
      </c>
      <c r="EC245" s="859" t="e">
        <f>EB245+30</f>
        <v>#VALUE!</v>
      </c>
      <c r="ED245" s="859" t="e">
        <f>CONCATENATE(MONTH(EA245),"-",YEAR(EA245))</f>
        <v>#VALUE!</v>
      </c>
      <c r="EE245" s="859" t="e">
        <f>CONCATENATE(MONTH(EB245),"-",YEAR(EB245))</f>
        <v>#VALUE!</v>
      </c>
      <c r="EF245" s="861" t="e">
        <f>CONCATENATE(MONTH(EC245),"-",YEAR(EC245))</f>
        <v>#VALUE!</v>
      </c>
      <c r="EG245" s="1105" t="e">
        <f>+YEAR(EA245)</f>
        <v>#VALUE!</v>
      </c>
      <c r="EI245" s="858">
        <f>+DW245+DW246+DW247</f>
        <v>0</v>
      </c>
      <c r="EJ245" s="877">
        <f>+D245/1000000-EI245</f>
        <v>0</v>
      </c>
      <c r="ER245" s="497"/>
    </row>
    <row r="246" spans="1:148" s="278" customFormat="1" outlineLevel="2" x14ac:dyDescent="0.2">
      <c r="A246" s="893"/>
      <c r="B246" s="886"/>
      <c r="C246" s="903"/>
      <c r="D246" s="864"/>
      <c r="E246" s="867"/>
      <c r="F246" s="311" t="s">
        <v>210</v>
      </c>
      <c r="G246" s="363">
        <v>0</v>
      </c>
      <c r="H246" s="363">
        <v>0</v>
      </c>
      <c r="I246" s="363">
        <v>0</v>
      </c>
      <c r="J246" s="363">
        <v>0</v>
      </c>
      <c r="K246" s="363">
        <v>0</v>
      </c>
      <c r="L246" s="363">
        <v>0</v>
      </c>
      <c r="M246" s="363">
        <v>0</v>
      </c>
      <c r="N246" s="363">
        <v>0</v>
      </c>
      <c r="O246" s="363">
        <v>0</v>
      </c>
      <c r="P246" s="363">
        <v>0</v>
      </c>
      <c r="Q246" s="363">
        <v>0</v>
      </c>
      <c r="R246" s="363">
        <v>0</v>
      </c>
      <c r="S246" s="363">
        <v>0</v>
      </c>
      <c r="T246" s="363">
        <v>0</v>
      </c>
      <c r="U246" s="363">
        <v>0</v>
      </c>
      <c r="V246" s="363">
        <v>0</v>
      </c>
      <c r="W246" s="363">
        <v>0</v>
      </c>
      <c r="X246" s="363">
        <v>0</v>
      </c>
      <c r="Y246" s="363">
        <v>0</v>
      </c>
      <c r="Z246" s="363">
        <v>0</v>
      </c>
      <c r="AA246" s="363">
        <v>0</v>
      </c>
      <c r="AB246" s="363">
        <v>0</v>
      </c>
      <c r="AC246" s="363">
        <v>0</v>
      </c>
      <c r="AD246" s="363">
        <v>0</v>
      </c>
      <c r="AE246" s="363">
        <v>0</v>
      </c>
      <c r="AF246" s="363">
        <v>0</v>
      </c>
      <c r="AG246" s="363">
        <v>0</v>
      </c>
      <c r="AH246" s="363">
        <v>0</v>
      </c>
      <c r="AI246" s="363">
        <v>0</v>
      </c>
      <c r="AJ246" s="363">
        <v>0</v>
      </c>
      <c r="AK246" s="363">
        <v>0</v>
      </c>
      <c r="AL246" s="363">
        <v>0</v>
      </c>
      <c r="AM246" s="363">
        <v>0</v>
      </c>
      <c r="AN246" s="363">
        <v>0</v>
      </c>
      <c r="AO246" s="363">
        <v>0</v>
      </c>
      <c r="AP246" s="363">
        <v>0</v>
      </c>
      <c r="AQ246" s="363">
        <v>0</v>
      </c>
      <c r="AR246" s="363">
        <v>0</v>
      </c>
      <c r="AS246" s="363">
        <v>0</v>
      </c>
      <c r="AT246" s="363">
        <v>0</v>
      </c>
      <c r="AU246" s="363">
        <v>0</v>
      </c>
      <c r="AV246" s="363">
        <v>0</v>
      </c>
      <c r="AW246" s="363">
        <v>0</v>
      </c>
      <c r="AX246" s="363">
        <v>0</v>
      </c>
      <c r="AY246" s="363">
        <v>0</v>
      </c>
      <c r="AZ246" s="363">
        <v>0</v>
      </c>
      <c r="BA246" s="363">
        <v>0</v>
      </c>
      <c r="BB246" s="363">
        <v>0</v>
      </c>
      <c r="BC246" s="363">
        <v>0</v>
      </c>
      <c r="BD246" s="363">
        <v>0</v>
      </c>
      <c r="BE246" s="363">
        <v>0</v>
      </c>
      <c r="BF246" s="363">
        <v>0</v>
      </c>
      <c r="BG246" s="363">
        <v>0</v>
      </c>
      <c r="BH246" s="363">
        <v>0</v>
      </c>
      <c r="BI246" s="363">
        <v>0</v>
      </c>
      <c r="BJ246" s="363">
        <v>0</v>
      </c>
      <c r="BK246" s="363">
        <v>0</v>
      </c>
      <c r="BL246" s="363">
        <v>0</v>
      </c>
      <c r="BM246" s="363">
        <v>0</v>
      </c>
      <c r="BN246" s="363">
        <v>0</v>
      </c>
      <c r="BO246" s="363">
        <v>0</v>
      </c>
      <c r="BP246" s="363">
        <v>0</v>
      </c>
      <c r="BQ246" s="363">
        <v>0</v>
      </c>
      <c r="BR246" s="363">
        <v>0</v>
      </c>
      <c r="BS246" s="363">
        <v>0</v>
      </c>
      <c r="BT246" s="363">
        <v>0</v>
      </c>
      <c r="BU246" s="363">
        <v>0</v>
      </c>
      <c r="BV246" s="363">
        <v>0</v>
      </c>
      <c r="BW246" s="363">
        <v>0</v>
      </c>
      <c r="BX246" s="363">
        <v>0</v>
      </c>
      <c r="BY246" s="363">
        <v>0</v>
      </c>
      <c r="BZ246" s="363">
        <v>0</v>
      </c>
      <c r="CA246" s="363">
        <v>0</v>
      </c>
      <c r="CB246" s="363">
        <v>0</v>
      </c>
      <c r="CC246" s="363">
        <v>0</v>
      </c>
      <c r="CD246" s="363">
        <v>0</v>
      </c>
      <c r="CE246" s="363">
        <v>0</v>
      </c>
      <c r="CF246" s="363">
        <v>0</v>
      </c>
      <c r="CG246" s="363">
        <v>0</v>
      </c>
      <c r="CH246" s="363">
        <v>0</v>
      </c>
      <c r="CI246" s="363">
        <v>0</v>
      </c>
      <c r="CJ246" s="363">
        <v>0</v>
      </c>
      <c r="CK246" s="363">
        <v>0</v>
      </c>
      <c r="CL246" s="363">
        <v>0</v>
      </c>
      <c r="CM246" s="363">
        <v>0</v>
      </c>
      <c r="CN246" s="363">
        <v>0</v>
      </c>
      <c r="CO246" s="363">
        <v>0</v>
      </c>
      <c r="CP246" s="363">
        <v>0</v>
      </c>
      <c r="CQ246" s="363">
        <v>0</v>
      </c>
      <c r="CR246" s="363">
        <v>0</v>
      </c>
      <c r="CS246" s="363">
        <v>0</v>
      </c>
      <c r="CT246" s="363">
        <v>0</v>
      </c>
      <c r="CU246" s="363">
        <v>0</v>
      </c>
      <c r="CV246" s="363">
        <v>0</v>
      </c>
      <c r="CW246" s="363">
        <v>0</v>
      </c>
      <c r="CX246" s="363">
        <v>0</v>
      </c>
      <c r="CY246" s="363">
        <v>0</v>
      </c>
      <c r="CZ246" s="363">
        <v>0</v>
      </c>
      <c r="DA246" s="363">
        <v>0</v>
      </c>
      <c r="DB246" s="363">
        <v>0</v>
      </c>
      <c r="DC246" s="363">
        <v>0</v>
      </c>
      <c r="DD246" s="363">
        <v>0</v>
      </c>
      <c r="DE246" s="363">
        <v>0</v>
      </c>
      <c r="DF246" s="363">
        <v>0</v>
      </c>
      <c r="DG246" s="363">
        <v>0</v>
      </c>
      <c r="DH246" s="363">
        <v>0</v>
      </c>
      <c r="DI246" s="363">
        <v>0</v>
      </c>
      <c r="DJ246" s="363">
        <v>0</v>
      </c>
      <c r="DK246" s="363">
        <v>0</v>
      </c>
      <c r="DL246" s="363">
        <v>0</v>
      </c>
      <c r="DM246" s="363">
        <v>0</v>
      </c>
      <c r="DN246" s="363">
        <v>0</v>
      </c>
      <c r="DO246" s="363">
        <v>0</v>
      </c>
      <c r="DP246" s="363">
        <v>0</v>
      </c>
      <c r="DQ246" s="363">
        <v>0</v>
      </c>
      <c r="DR246" s="363">
        <v>0</v>
      </c>
      <c r="DS246" s="363">
        <v>0</v>
      </c>
      <c r="DT246" s="363">
        <v>0</v>
      </c>
      <c r="DU246" s="363">
        <v>0</v>
      </c>
      <c r="DV246" s="363">
        <v>0</v>
      </c>
      <c r="DW246" s="544">
        <f t="shared" si="36"/>
        <v>0</v>
      </c>
      <c r="DX246" s="858"/>
      <c r="DY246" s="705"/>
      <c r="DZ246" s="871"/>
      <c r="EA246" s="873"/>
      <c r="EB246" s="859"/>
      <c r="EC246" s="859"/>
      <c r="ED246" s="859"/>
      <c r="EE246" s="859"/>
      <c r="EF246" s="861"/>
      <c r="EG246" s="1106"/>
      <c r="EI246" s="858"/>
      <c r="EJ246" s="877"/>
      <c r="ER246" s="497"/>
    </row>
    <row r="247" spans="1:148" s="278" customFormat="1" ht="12.75" outlineLevel="2" thickBot="1" x14ac:dyDescent="0.25">
      <c r="A247" s="894"/>
      <c r="B247" s="887"/>
      <c r="C247" s="904"/>
      <c r="D247" s="865"/>
      <c r="E247" s="868"/>
      <c r="F247" s="315" t="s">
        <v>211</v>
      </c>
      <c r="G247" s="387">
        <v>0</v>
      </c>
      <c r="H247" s="387">
        <v>0</v>
      </c>
      <c r="I247" s="387">
        <v>0</v>
      </c>
      <c r="J247" s="387">
        <v>0</v>
      </c>
      <c r="K247" s="387">
        <v>0</v>
      </c>
      <c r="L247" s="387">
        <v>0</v>
      </c>
      <c r="M247" s="387">
        <v>0</v>
      </c>
      <c r="N247" s="387">
        <v>0</v>
      </c>
      <c r="O247" s="387">
        <v>0</v>
      </c>
      <c r="P247" s="387">
        <v>0</v>
      </c>
      <c r="Q247" s="387">
        <v>0</v>
      </c>
      <c r="R247" s="387">
        <v>0</v>
      </c>
      <c r="S247" s="387">
        <v>0</v>
      </c>
      <c r="T247" s="387">
        <v>0</v>
      </c>
      <c r="U247" s="387">
        <v>0</v>
      </c>
      <c r="V247" s="387">
        <v>0</v>
      </c>
      <c r="W247" s="387">
        <v>0</v>
      </c>
      <c r="X247" s="387">
        <v>0</v>
      </c>
      <c r="Y247" s="387">
        <v>0</v>
      </c>
      <c r="Z247" s="387">
        <v>0</v>
      </c>
      <c r="AA247" s="387">
        <v>0</v>
      </c>
      <c r="AB247" s="387">
        <v>0</v>
      </c>
      <c r="AC247" s="387">
        <v>0</v>
      </c>
      <c r="AD247" s="387">
        <v>0</v>
      </c>
      <c r="AE247" s="387">
        <v>0</v>
      </c>
      <c r="AF247" s="387">
        <v>0</v>
      </c>
      <c r="AG247" s="387">
        <v>0</v>
      </c>
      <c r="AH247" s="387">
        <v>0</v>
      </c>
      <c r="AI247" s="387">
        <v>0</v>
      </c>
      <c r="AJ247" s="387">
        <v>0</v>
      </c>
      <c r="AK247" s="387">
        <v>0</v>
      </c>
      <c r="AL247" s="387">
        <v>0</v>
      </c>
      <c r="AM247" s="387">
        <v>0</v>
      </c>
      <c r="AN247" s="387">
        <v>0</v>
      </c>
      <c r="AO247" s="387">
        <v>0</v>
      </c>
      <c r="AP247" s="387">
        <v>0</v>
      </c>
      <c r="AQ247" s="387">
        <v>0</v>
      </c>
      <c r="AR247" s="387">
        <v>0</v>
      </c>
      <c r="AS247" s="387">
        <v>0</v>
      </c>
      <c r="AT247" s="387">
        <v>0</v>
      </c>
      <c r="AU247" s="387">
        <v>0</v>
      </c>
      <c r="AV247" s="387">
        <v>0</v>
      </c>
      <c r="AW247" s="387">
        <v>0</v>
      </c>
      <c r="AX247" s="387">
        <v>0</v>
      </c>
      <c r="AY247" s="387">
        <v>0</v>
      </c>
      <c r="AZ247" s="387">
        <v>0</v>
      </c>
      <c r="BA247" s="387">
        <v>0</v>
      </c>
      <c r="BB247" s="387">
        <v>0</v>
      </c>
      <c r="BC247" s="363">
        <v>0</v>
      </c>
      <c r="BD247" s="363">
        <v>0</v>
      </c>
      <c r="BE247" s="363">
        <v>0</v>
      </c>
      <c r="BF247" s="363">
        <v>0</v>
      </c>
      <c r="BG247" s="363">
        <v>0</v>
      </c>
      <c r="BH247" s="363">
        <v>0</v>
      </c>
      <c r="BI247" s="363">
        <v>0</v>
      </c>
      <c r="BJ247" s="363">
        <v>0</v>
      </c>
      <c r="BK247" s="363">
        <v>0</v>
      </c>
      <c r="BL247" s="363">
        <v>0</v>
      </c>
      <c r="BM247" s="363">
        <v>0</v>
      </c>
      <c r="BN247" s="363">
        <v>0</v>
      </c>
      <c r="BO247" s="363">
        <v>0</v>
      </c>
      <c r="BP247" s="363">
        <v>0</v>
      </c>
      <c r="BQ247" s="363">
        <v>0</v>
      </c>
      <c r="BR247" s="363">
        <v>0</v>
      </c>
      <c r="BS247" s="363">
        <v>0</v>
      </c>
      <c r="BT247" s="363">
        <v>0</v>
      </c>
      <c r="BU247" s="363">
        <v>0</v>
      </c>
      <c r="BV247" s="363">
        <v>0</v>
      </c>
      <c r="BW247" s="363">
        <v>0</v>
      </c>
      <c r="BX247" s="363">
        <v>0</v>
      </c>
      <c r="BY247" s="363">
        <v>0</v>
      </c>
      <c r="BZ247" s="363">
        <v>0</v>
      </c>
      <c r="CA247" s="363">
        <v>0</v>
      </c>
      <c r="CB247" s="363">
        <v>0</v>
      </c>
      <c r="CC247" s="363">
        <v>0</v>
      </c>
      <c r="CD247" s="363">
        <v>0</v>
      </c>
      <c r="CE247" s="363">
        <v>0</v>
      </c>
      <c r="CF247" s="363">
        <v>0</v>
      </c>
      <c r="CG247" s="363">
        <v>0</v>
      </c>
      <c r="CH247" s="363">
        <v>0</v>
      </c>
      <c r="CI247" s="363">
        <v>0</v>
      </c>
      <c r="CJ247" s="363">
        <v>0</v>
      </c>
      <c r="CK247" s="363">
        <v>0</v>
      </c>
      <c r="CL247" s="363">
        <v>0</v>
      </c>
      <c r="CM247" s="363">
        <v>0</v>
      </c>
      <c r="CN247" s="363">
        <v>0</v>
      </c>
      <c r="CO247" s="363">
        <v>0</v>
      </c>
      <c r="CP247" s="363">
        <v>0</v>
      </c>
      <c r="CQ247" s="363">
        <v>0</v>
      </c>
      <c r="CR247" s="363">
        <v>0</v>
      </c>
      <c r="CS247" s="363">
        <v>0</v>
      </c>
      <c r="CT247" s="363">
        <v>0</v>
      </c>
      <c r="CU247" s="363">
        <v>0</v>
      </c>
      <c r="CV247" s="363">
        <v>0</v>
      </c>
      <c r="CW247" s="363">
        <v>0</v>
      </c>
      <c r="CX247" s="363">
        <v>0</v>
      </c>
      <c r="CY247" s="363"/>
      <c r="CZ247" s="363"/>
      <c r="DA247" s="363"/>
      <c r="DB247" s="363"/>
      <c r="DC247" s="363"/>
      <c r="DD247" s="363"/>
      <c r="DE247" s="363"/>
      <c r="DF247" s="363"/>
      <c r="DG247" s="363"/>
      <c r="DH247" s="363"/>
      <c r="DI247" s="363"/>
      <c r="DJ247" s="363"/>
      <c r="DK247" s="363">
        <v>0</v>
      </c>
      <c r="DL247" s="363">
        <v>0</v>
      </c>
      <c r="DM247" s="363">
        <v>0</v>
      </c>
      <c r="DN247" s="363">
        <v>0</v>
      </c>
      <c r="DO247" s="363">
        <v>0</v>
      </c>
      <c r="DP247" s="363">
        <v>0</v>
      </c>
      <c r="DQ247" s="363">
        <v>0</v>
      </c>
      <c r="DR247" s="387">
        <v>0</v>
      </c>
      <c r="DS247" s="387">
        <v>0</v>
      </c>
      <c r="DT247" s="387">
        <v>0</v>
      </c>
      <c r="DU247" s="387">
        <v>0</v>
      </c>
      <c r="DV247" s="387">
        <v>0</v>
      </c>
      <c r="DW247" s="545">
        <f t="shared" si="36"/>
        <v>0</v>
      </c>
      <c r="DX247" s="858"/>
      <c r="DY247" s="706"/>
      <c r="DZ247" s="872"/>
      <c r="EA247" s="873"/>
      <c r="EB247" s="859"/>
      <c r="EC247" s="859"/>
      <c r="ED247" s="859"/>
      <c r="EE247" s="859"/>
      <c r="EF247" s="861"/>
      <c r="EG247" s="1107"/>
      <c r="EI247" s="858"/>
      <c r="EJ247" s="877"/>
      <c r="ER247" s="497"/>
    </row>
    <row r="248" spans="1:148" s="278" customFormat="1" ht="24" outlineLevel="2" x14ac:dyDescent="0.2">
      <c r="A248" s="892"/>
      <c r="B248" s="897" t="s">
        <v>193</v>
      </c>
      <c r="C248" s="902">
        <v>10</v>
      </c>
      <c r="D248" s="863">
        <f>+IFERROR(VLOOKUP(B248,'Detalle Plan de Adquisiciones'!$G$6:$M$66,7,FALSE),0)</f>
        <v>0</v>
      </c>
      <c r="E248" s="866" t="str">
        <f>+'Detalle Plan de Adquisiciones'!F52</f>
        <v>PATIO 3</v>
      </c>
      <c r="F248" s="312" t="s">
        <v>410</v>
      </c>
      <c r="G248" s="354">
        <v>0</v>
      </c>
      <c r="H248" s="354">
        <v>0</v>
      </c>
      <c r="I248" s="354">
        <v>0</v>
      </c>
      <c r="J248" s="354">
        <v>0</v>
      </c>
      <c r="K248" s="354">
        <v>0</v>
      </c>
      <c r="L248" s="354">
        <v>0</v>
      </c>
      <c r="M248" s="354">
        <v>0</v>
      </c>
      <c r="N248" s="354">
        <v>0</v>
      </c>
      <c r="O248" s="354">
        <v>0</v>
      </c>
      <c r="P248" s="354">
        <v>0</v>
      </c>
      <c r="Q248" s="354">
        <v>0</v>
      </c>
      <c r="R248" s="354">
        <v>0</v>
      </c>
      <c r="S248" s="354">
        <v>0</v>
      </c>
      <c r="T248" s="354">
        <v>0</v>
      </c>
      <c r="U248" s="354">
        <v>0</v>
      </c>
      <c r="V248" s="354">
        <v>0</v>
      </c>
      <c r="W248" s="354">
        <v>0</v>
      </c>
      <c r="X248" s="354">
        <v>0</v>
      </c>
      <c r="Y248" s="354">
        <v>0</v>
      </c>
      <c r="Z248" s="354">
        <v>0</v>
      </c>
      <c r="AA248" s="354">
        <v>0</v>
      </c>
      <c r="AB248" s="354">
        <v>0</v>
      </c>
      <c r="AC248" s="354">
        <v>0</v>
      </c>
      <c r="AD248" s="354">
        <v>0</v>
      </c>
      <c r="AE248" s="354">
        <v>0</v>
      </c>
      <c r="AF248" s="354">
        <v>0</v>
      </c>
      <c r="AG248" s="354">
        <v>0</v>
      </c>
      <c r="AH248" s="354">
        <v>0</v>
      </c>
      <c r="AI248" s="354">
        <v>0</v>
      </c>
      <c r="AJ248" s="354">
        <v>0</v>
      </c>
      <c r="AK248" s="354">
        <v>0</v>
      </c>
      <c r="AL248" s="354">
        <v>0</v>
      </c>
      <c r="AM248" s="354">
        <v>0</v>
      </c>
      <c r="AN248" s="354">
        <v>0</v>
      </c>
      <c r="AO248" s="354">
        <v>0</v>
      </c>
      <c r="AP248" s="354">
        <v>0</v>
      </c>
      <c r="AQ248" s="354">
        <v>0</v>
      </c>
      <c r="AR248" s="354">
        <v>0</v>
      </c>
      <c r="AS248" s="354">
        <v>0</v>
      </c>
      <c r="AT248" s="354">
        <v>0</v>
      </c>
      <c r="AU248" s="354">
        <v>0</v>
      </c>
      <c r="AV248" s="354">
        <v>0</v>
      </c>
      <c r="AW248" s="354">
        <v>0</v>
      </c>
      <c r="AX248" s="354">
        <v>0</v>
      </c>
      <c r="AY248" s="354">
        <v>0</v>
      </c>
      <c r="AZ248" s="354">
        <v>0</v>
      </c>
      <c r="BA248" s="354">
        <v>0</v>
      </c>
      <c r="BB248" s="354">
        <v>0</v>
      </c>
      <c r="BC248" s="363">
        <v>0</v>
      </c>
      <c r="BD248" s="363">
        <v>0</v>
      </c>
      <c r="BE248" s="363">
        <v>0</v>
      </c>
      <c r="BF248" s="363">
        <v>0</v>
      </c>
      <c r="BG248" s="363">
        <v>0</v>
      </c>
      <c r="BH248" s="363">
        <v>0</v>
      </c>
      <c r="BI248" s="363">
        <v>0</v>
      </c>
      <c r="BJ248" s="363">
        <v>0</v>
      </c>
      <c r="BK248" s="363">
        <v>0</v>
      </c>
      <c r="BL248" s="363">
        <v>0</v>
      </c>
      <c r="BM248" s="363">
        <v>0</v>
      </c>
      <c r="BN248" s="363">
        <v>0</v>
      </c>
      <c r="BO248" s="363">
        <v>0</v>
      </c>
      <c r="BP248" s="363">
        <v>0</v>
      </c>
      <c r="BQ248" s="363">
        <v>0</v>
      </c>
      <c r="BR248" s="363">
        <v>0</v>
      </c>
      <c r="BS248" s="363">
        <v>0</v>
      </c>
      <c r="BT248" s="363">
        <v>0</v>
      </c>
      <c r="BU248" s="363">
        <v>0</v>
      </c>
      <c r="BV248" s="363">
        <v>0</v>
      </c>
      <c r="BW248" s="363">
        <v>0</v>
      </c>
      <c r="BX248" s="363">
        <v>0</v>
      </c>
      <c r="BY248" s="363">
        <v>0</v>
      </c>
      <c r="BZ248" s="363">
        <v>0</v>
      </c>
      <c r="CA248" s="363">
        <v>0</v>
      </c>
      <c r="CB248" s="363">
        <v>0</v>
      </c>
      <c r="CC248" s="363">
        <v>0</v>
      </c>
      <c r="CD248" s="363">
        <v>0</v>
      </c>
      <c r="CE248" s="363">
        <v>0</v>
      </c>
      <c r="CF248" s="363">
        <v>0</v>
      </c>
      <c r="CG248" s="363">
        <v>0</v>
      </c>
      <c r="CH248" s="363">
        <v>0</v>
      </c>
      <c r="CI248" s="363">
        <v>0</v>
      </c>
      <c r="CJ248" s="363">
        <v>0</v>
      </c>
      <c r="CK248" s="363">
        <v>0</v>
      </c>
      <c r="CL248" s="363">
        <v>0</v>
      </c>
      <c r="CM248" s="363">
        <v>0</v>
      </c>
      <c r="CN248" s="363">
        <v>0</v>
      </c>
      <c r="CO248" s="363">
        <v>0</v>
      </c>
      <c r="CP248" s="363">
        <v>0</v>
      </c>
      <c r="CQ248" s="363">
        <v>0</v>
      </c>
      <c r="CR248" s="363">
        <v>0</v>
      </c>
      <c r="CS248" s="363">
        <v>0</v>
      </c>
      <c r="CT248" s="363">
        <v>0</v>
      </c>
      <c r="CU248" s="363">
        <v>0</v>
      </c>
      <c r="CV248" s="363">
        <v>0</v>
      </c>
      <c r="CW248" s="363">
        <v>0</v>
      </c>
      <c r="CX248" s="363">
        <v>0</v>
      </c>
      <c r="CY248" s="363">
        <v>0</v>
      </c>
      <c r="CZ248" s="363">
        <v>0</v>
      </c>
      <c r="DA248" s="363">
        <v>0</v>
      </c>
      <c r="DB248" s="363">
        <v>0</v>
      </c>
      <c r="DC248" s="363">
        <v>0</v>
      </c>
      <c r="DD248" s="363">
        <v>0</v>
      </c>
      <c r="DE248" s="363">
        <v>0</v>
      </c>
      <c r="DF248" s="363">
        <v>0</v>
      </c>
      <c r="DG248" s="363">
        <v>0</v>
      </c>
      <c r="DH248" s="363">
        <v>0</v>
      </c>
      <c r="DI248" s="363">
        <v>0</v>
      </c>
      <c r="DJ248" s="363">
        <v>0</v>
      </c>
      <c r="DK248" s="363">
        <v>0</v>
      </c>
      <c r="DL248" s="363">
        <v>0</v>
      </c>
      <c r="DM248" s="363">
        <v>0</v>
      </c>
      <c r="DN248" s="363">
        <v>0</v>
      </c>
      <c r="DO248" s="363">
        <v>0</v>
      </c>
      <c r="DP248" s="363">
        <v>0</v>
      </c>
      <c r="DQ248" s="363">
        <v>0</v>
      </c>
      <c r="DR248" s="354">
        <v>0</v>
      </c>
      <c r="DS248" s="354">
        <v>0</v>
      </c>
      <c r="DT248" s="354">
        <v>0</v>
      </c>
      <c r="DU248" s="354">
        <v>0</v>
      </c>
      <c r="DV248" s="354">
        <v>0</v>
      </c>
      <c r="DW248" s="543">
        <f t="shared" si="36"/>
        <v>0</v>
      </c>
      <c r="DX248" s="858">
        <f>DW248+DW249+DW250</f>
        <v>0</v>
      </c>
      <c r="DY248" s="704">
        <f>+DX248*1000000</f>
        <v>0</v>
      </c>
      <c r="DZ248" s="870">
        <f>+DY248-D248</f>
        <v>0</v>
      </c>
      <c r="EA248" s="873" t="str">
        <f>VLOOKUP(POA!$B248,'Detalle Plan de Adquisiciones'!$G$6:$AF$66,23,0)</f>
        <v>N/A</v>
      </c>
      <c r="EB248" s="859" t="str">
        <f>VLOOKUP(POA!$B248,'Detalle Plan de Adquisiciones'!$G$6:$AF$66,25,0)</f>
        <v>N/A</v>
      </c>
      <c r="EC248" s="859" t="e">
        <f>EB248+30</f>
        <v>#VALUE!</v>
      </c>
      <c r="ED248" s="859" t="e">
        <f>CONCATENATE(MONTH(EA248),"-",YEAR(EA248))</f>
        <v>#VALUE!</v>
      </c>
      <c r="EE248" s="859" t="e">
        <f>CONCATENATE(MONTH(EB248),"-",YEAR(EB248))</f>
        <v>#VALUE!</v>
      </c>
      <c r="EF248" s="861" t="e">
        <f>CONCATENATE(MONTH(EC248),"-",YEAR(EC248))</f>
        <v>#VALUE!</v>
      </c>
      <c r="EG248" s="1105" t="e">
        <f>+YEAR(EA248)</f>
        <v>#VALUE!</v>
      </c>
      <c r="EI248" s="858">
        <f>+DW248+DW249+DW250</f>
        <v>0</v>
      </c>
      <c r="EJ248" s="877">
        <f>+D248/1000000-EI248</f>
        <v>0</v>
      </c>
      <c r="ER248" s="497"/>
    </row>
    <row r="249" spans="1:148" s="278" customFormat="1" outlineLevel="2" x14ac:dyDescent="0.2">
      <c r="A249" s="893"/>
      <c r="B249" s="886"/>
      <c r="C249" s="903"/>
      <c r="D249" s="864"/>
      <c r="E249" s="867"/>
      <c r="F249" s="311" t="s">
        <v>210</v>
      </c>
      <c r="G249" s="363">
        <v>0</v>
      </c>
      <c r="H249" s="363">
        <v>0</v>
      </c>
      <c r="I249" s="363">
        <v>0</v>
      </c>
      <c r="J249" s="363">
        <v>0</v>
      </c>
      <c r="K249" s="363">
        <v>0</v>
      </c>
      <c r="L249" s="363">
        <v>0</v>
      </c>
      <c r="M249" s="363">
        <v>0</v>
      </c>
      <c r="N249" s="363">
        <v>0</v>
      </c>
      <c r="O249" s="363">
        <v>0</v>
      </c>
      <c r="P249" s="363">
        <v>0</v>
      </c>
      <c r="Q249" s="363">
        <v>0</v>
      </c>
      <c r="R249" s="363">
        <v>0</v>
      </c>
      <c r="S249" s="363">
        <v>0</v>
      </c>
      <c r="T249" s="363">
        <v>0</v>
      </c>
      <c r="U249" s="363">
        <v>0</v>
      </c>
      <c r="V249" s="363">
        <v>0</v>
      </c>
      <c r="W249" s="363">
        <v>0</v>
      </c>
      <c r="X249" s="363">
        <v>0</v>
      </c>
      <c r="Y249" s="363">
        <v>0</v>
      </c>
      <c r="Z249" s="363">
        <v>0</v>
      </c>
      <c r="AA249" s="363">
        <v>0</v>
      </c>
      <c r="AB249" s="363">
        <v>0</v>
      </c>
      <c r="AC249" s="363">
        <v>0</v>
      </c>
      <c r="AD249" s="363">
        <v>0</v>
      </c>
      <c r="AE249" s="363">
        <v>0</v>
      </c>
      <c r="AF249" s="363">
        <v>0</v>
      </c>
      <c r="AG249" s="363">
        <v>0</v>
      </c>
      <c r="AH249" s="363">
        <v>0</v>
      </c>
      <c r="AI249" s="363">
        <v>0</v>
      </c>
      <c r="AJ249" s="363">
        <v>0</v>
      </c>
      <c r="AK249" s="363">
        <v>0</v>
      </c>
      <c r="AL249" s="363">
        <v>0</v>
      </c>
      <c r="AM249" s="363">
        <v>0</v>
      </c>
      <c r="AN249" s="363">
        <v>0</v>
      </c>
      <c r="AO249" s="363">
        <v>0</v>
      </c>
      <c r="AP249" s="363">
        <v>0</v>
      </c>
      <c r="AQ249" s="363">
        <v>0</v>
      </c>
      <c r="AR249" s="363">
        <v>0</v>
      </c>
      <c r="AS249" s="363">
        <v>0</v>
      </c>
      <c r="AT249" s="363">
        <v>0</v>
      </c>
      <c r="AU249" s="363">
        <v>0</v>
      </c>
      <c r="AV249" s="363">
        <v>0</v>
      </c>
      <c r="AW249" s="363">
        <v>0</v>
      </c>
      <c r="AX249" s="363">
        <v>0</v>
      </c>
      <c r="AY249" s="363">
        <v>0</v>
      </c>
      <c r="AZ249" s="363">
        <v>0</v>
      </c>
      <c r="BA249" s="363">
        <v>0</v>
      </c>
      <c r="BB249" s="363">
        <v>0</v>
      </c>
      <c r="BC249" s="363">
        <v>0</v>
      </c>
      <c r="BD249" s="363">
        <v>0</v>
      </c>
      <c r="BE249" s="363">
        <v>0</v>
      </c>
      <c r="BF249" s="363">
        <v>0</v>
      </c>
      <c r="BG249" s="363">
        <v>0</v>
      </c>
      <c r="BH249" s="363">
        <v>0</v>
      </c>
      <c r="BI249" s="363">
        <v>0</v>
      </c>
      <c r="BJ249" s="363">
        <v>0</v>
      </c>
      <c r="BK249" s="363">
        <v>0</v>
      </c>
      <c r="BL249" s="363">
        <v>0</v>
      </c>
      <c r="BM249" s="363">
        <v>0</v>
      </c>
      <c r="BN249" s="363">
        <v>0</v>
      </c>
      <c r="BO249" s="363">
        <v>0</v>
      </c>
      <c r="BP249" s="363">
        <v>0</v>
      </c>
      <c r="BQ249" s="363">
        <v>0</v>
      </c>
      <c r="BR249" s="363">
        <v>0</v>
      </c>
      <c r="BS249" s="363">
        <v>0</v>
      </c>
      <c r="BT249" s="363">
        <v>0</v>
      </c>
      <c r="BU249" s="363">
        <v>0</v>
      </c>
      <c r="BV249" s="363">
        <v>0</v>
      </c>
      <c r="BW249" s="363">
        <v>0</v>
      </c>
      <c r="BX249" s="363">
        <v>0</v>
      </c>
      <c r="BY249" s="363">
        <v>0</v>
      </c>
      <c r="BZ249" s="363">
        <v>0</v>
      </c>
      <c r="CA249" s="363">
        <v>0</v>
      </c>
      <c r="CB249" s="363">
        <v>0</v>
      </c>
      <c r="CC249" s="363">
        <v>0</v>
      </c>
      <c r="CD249" s="363">
        <v>0</v>
      </c>
      <c r="CE249" s="363">
        <v>0</v>
      </c>
      <c r="CF249" s="363">
        <v>0</v>
      </c>
      <c r="CG249" s="363">
        <v>0</v>
      </c>
      <c r="CH249" s="363">
        <v>0</v>
      </c>
      <c r="CI249" s="363">
        <v>0</v>
      </c>
      <c r="CJ249" s="363">
        <v>0</v>
      </c>
      <c r="CK249" s="363">
        <v>0</v>
      </c>
      <c r="CL249" s="363">
        <v>0</v>
      </c>
      <c r="CM249" s="363">
        <v>0</v>
      </c>
      <c r="CN249" s="363">
        <v>0</v>
      </c>
      <c r="CO249" s="363">
        <v>0</v>
      </c>
      <c r="CP249" s="363">
        <v>0</v>
      </c>
      <c r="CQ249" s="363">
        <v>0</v>
      </c>
      <c r="CR249" s="363">
        <v>0</v>
      </c>
      <c r="CS249" s="363">
        <v>0</v>
      </c>
      <c r="CT249" s="363">
        <v>0</v>
      </c>
      <c r="CU249" s="363">
        <v>0</v>
      </c>
      <c r="CV249" s="363">
        <v>0</v>
      </c>
      <c r="CW249" s="363">
        <v>0</v>
      </c>
      <c r="CX249" s="363">
        <v>0</v>
      </c>
      <c r="CY249" s="363">
        <v>0</v>
      </c>
      <c r="CZ249" s="363">
        <v>0</v>
      </c>
      <c r="DA249" s="363">
        <v>0</v>
      </c>
      <c r="DB249" s="363">
        <v>0</v>
      </c>
      <c r="DC249" s="363">
        <v>0</v>
      </c>
      <c r="DD249" s="363">
        <v>0</v>
      </c>
      <c r="DE249" s="363">
        <v>0</v>
      </c>
      <c r="DF249" s="363">
        <v>0</v>
      </c>
      <c r="DG249" s="363">
        <v>0</v>
      </c>
      <c r="DH249" s="363">
        <v>0</v>
      </c>
      <c r="DI249" s="363">
        <v>0</v>
      </c>
      <c r="DJ249" s="363">
        <v>0</v>
      </c>
      <c r="DK249" s="363">
        <v>0</v>
      </c>
      <c r="DL249" s="363">
        <v>0</v>
      </c>
      <c r="DM249" s="363">
        <v>0</v>
      </c>
      <c r="DN249" s="363">
        <v>0</v>
      </c>
      <c r="DO249" s="363">
        <v>0</v>
      </c>
      <c r="DP249" s="363">
        <v>0</v>
      </c>
      <c r="DQ249" s="363">
        <v>0</v>
      </c>
      <c r="DR249" s="363">
        <v>0</v>
      </c>
      <c r="DS249" s="363">
        <v>0</v>
      </c>
      <c r="DT249" s="363">
        <v>0</v>
      </c>
      <c r="DU249" s="363">
        <v>0</v>
      </c>
      <c r="DV249" s="363">
        <v>0</v>
      </c>
      <c r="DW249" s="544">
        <f t="shared" si="36"/>
        <v>0</v>
      </c>
      <c r="DX249" s="858"/>
      <c r="DY249" s="705"/>
      <c r="DZ249" s="871"/>
      <c r="EA249" s="873"/>
      <c r="EB249" s="859"/>
      <c r="EC249" s="859"/>
      <c r="ED249" s="859"/>
      <c r="EE249" s="859"/>
      <c r="EF249" s="861"/>
      <c r="EG249" s="1106"/>
      <c r="EI249" s="858"/>
      <c r="EJ249" s="877"/>
      <c r="ER249" s="497"/>
    </row>
    <row r="250" spans="1:148" s="278" customFormat="1" ht="12.75" outlineLevel="2" thickBot="1" x14ac:dyDescent="0.25">
      <c r="A250" s="894"/>
      <c r="B250" s="887"/>
      <c r="C250" s="904"/>
      <c r="D250" s="865"/>
      <c r="E250" s="868"/>
      <c r="F250" s="315" t="s">
        <v>211</v>
      </c>
      <c r="G250" s="387">
        <v>0</v>
      </c>
      <c r="H250" s="387">
        <v>0</v>
      </c>
      <c r="I250" s="387">
        <v>0</v>
      </c>
      <c r="J250" s="387">
        <v>0</v>
      </c>
      <c r="K250" s="387">
        <v>0</v>
      </c>
      <c r="L250" s="387">
        <v>0</v>
      </c>
      <c r="M250" s="387">
        <v>0</v>
      </c>
      <c r="N250" s="387">
        <v>0</v>
      </c>
      <c r="O250" s="387">
        <v>0</v>
      </c>
      <c r="P250" s="387">
        <v>0</v>
      </c>
      <c r="Q250" s="387">
        <v>0</v>
      </c>
      <c r="R250" s="387">
        <v>0</v>
      </c>
      <c r="S250" s="387">
        <v>0</v>
      </c>
      <c r="T250" s="387">
        <v>0</v>
      </c>
      <c r="U250" s="387">
        <v>0</v>
      </c>
      <c r="V250" s="387">
        <v>0</v>
      </c>
      <c r="W250" s="387">
        <v>0</v>
      </c>
      <c r="X250" s="387">
        <v>0</v>
      </c>
      <c r="Y250" s="387">
        <v>0</v>
      </c>
      <c r="Z250" s="387">
        <v>0</v>
      </c>
      <c r="AA250" s="387">
        <v>0</v>
      </c>
      <c r="AB250" s="387">
        <v>0</v>
      </c>
      <c r="AC250" s="387">
        <v>0</v>
      </c>
      <c r="AD250" s="387">
        <v>0</v>
      </c>
      <c r="AE250" s="387">
        <v>0</v>
      </c>
      <c r="AF250" s="387">
        <v>0</v>
      </c>
      <c r="AG250" s="387">
        <v>0</v>
      </c>
      <c r="AH250" s="387">
        <v>0</v>
      </c>
      <c r="AI250" s="387">
        <v>0</v>
      </c>
      <c r="AJ250" s="387">
        <v>0</v>
      </c>
      <c r="AK250" s="387">
        <v>0</v>
      </c>
      <c r="AL250" s="387">
        <v>0</v>
      </c>
      <c r="AM250" s="387">
        <v>0</v>
      </c>
      <c r="AN250" s="387">
        <v>0</v>
      </c>
      <c r="AO250" s="387">
        <v>0</v>
      </c>
      <c r="AP250" s="387">
        <v>0</v>
      </c>
      <c r="AQ250" s="387">
        <v>0</v>
      </c>
      <c r="AR250" s="387">
        <v>0</v>
      </c>
      <c r="AS250" s="387">
        <v>0</v>
      </c>
      <c r="AT250" s="387">
        <v>0</v>
      </c>
      <c r="AU250" s="387">
        <v>0</v>
      </c>
      <c r="AV250" s="387">
        <v>0</v>
      </c>
      <c r="AW250" s="387">
        <v>0</v>
      </c>
      <c r="AX250" s="387">
        <v>0</v>
      </c>
      <c r="AY250" s="387">
        <v>0</v>
      </c>
      <c r="AZ250" s="387">
        <v>0</v>
      </c>
      <c r="BA250" s="387">
        <v>0</v>
      </c>
      <c r="BB250" s="387">
        <v>0</v>
      </c>
      <c r="BC250" s="363">
        <v>0</v>
      </c>
      <c r="BD250" s="363">
        <v>0</v>
      </c>
      <c r="BE250" s="363">
        <v>0</v>
      </c>
      <c r="BF250" s="363">
        <v>0</v>
      </c>
      <c r="BG250" s="363">
        <v>0</v>
      </c>
      <c r="BH250" s="363">
        <v>0</v>
      </c>
      <c r="BI250" s="363">
        <v>0</v>
      </c>
      <c r="BJ250" s="363">
        <v>0</v>
      </c>
      <c r="BK250" s="363">
        <v>0</v>
      </c>
      <c r="BL250" s="363">
        <v>0</v>
      </c>
      <c r="BM250" s="363">
        <v>0</v>
      </c>
      <c r="BN250" s="363">
        <v>0</v>
      </c>
      <c r="BO250" s="363">
        <v>0</v>
      </c>
      <c r="BP250" s="363">
        <v>0</v>
      </c>
      <c r="BQ250" s="363">
        <v>0</v>
      </c>
      <c r="BR250" s="363">
        <v>0</v>
      </c>
      <c r="BS250" s="363">
        <v>0</v>
      </c>
      <c r="BT250" s="363">
        <v>0</v>
      </c>
      <c r="BU250" s="363">
        <v>0</v>
      </c>
      <c r="BV250" s="363">
        <v>0</v>
      </c>
      <c r="BW250" s="363">
        <v>0</v>
      </c>
      <c r="BX250" s="363">
        <v>0</v>
      </c>
      <c r="BY250" s="363">
        <v>0</v>
      </c>
      <c r="BZ250" s="363">
        <v>0</v>
      </c>
      <c r="CA250" s="363">
        <v>0</v>
      </c>
      <c r="CB250" s="363">
        <v>0</v>
      </c>
      <c r="CC250" s="363">
        <v>0</v>
      </c>
      <c r="CD250" s="363">
        <v>0</v>
      </c>
      <c r="CE250" s="363">
        <v>0</v>
      </c>
      <c r="CF250" s="363">
        <v>0</v>
      </c>
      <c r="CG250" s="363">
        <v>0</v>
      </c>
      <c r="CH250" s="363">
        <v>0</v>
      </c>
      <c r="CI250" s="363">
        <v>0</v>
      </c>
      <c r="CJ250" s="363">
        <v>0</v>
      </c>
      <c r="CK250" s="363">
        <v>0</v>
      </c>
      <c r="CL250" s="363">
        <v>0</v>
      </c>
      <c r="CM250" s="363">
        <v>0</v>
      </c>
      <c r="CN250" s="363">
        <v>0</v>
      </c>
      <c r="CO250" s="363">
        <v>0</v>
      </c>
      <c r="CP250" s="363">
        <v>0</v>
      </c>
      <c r="CQ250" s="363">
        <v>0</v>
      </c>
      <c r="CR250" s="363">
        <v>0</v>
      </c>
      <c r="CS250" s="363">
        <v>0</v>
      </c>
      <c r="CT250" s="363">
        <v>0</v>
      </c>
      <c r="CU250" s="363">
        <v>0</v>
      </c>
      <c r="CV250" s="363">
        <v>0</v>
      </c>
      <c r="CW250" s="363">
        <v>0</v>
      </c>
      <c r="CX250" s="363">
        <v>0</v>
      </c>
      <c r="CY250" s="363"/>
      <c r="CZ250" s="363"/>
      <c r="DA250" s="363"/>
      <c r="DB250" s="363"/>
      <c r="DC250" s="363"/>
      <c r="DD250" s="363"/>
      <c r="DE250" s="363"/>
      <c r="DF250" s="363"/>
      <c r="DG250" s="363"/>
      <c r="DH250" s="363"/>
      <c r="DI250" s="363"/>
      <c r="DJ250" s="363"/>
      <c r="DK250" s="363">
        <v>0</v>
      </c>
      <c r="DL250" s="363">
        <v>0</v>
      </c>
      <c r="DM250" s="363">
        <v>0</v>
      </c>
      <c r="DN250" s="363">
        <v>0</v>
      </c>
      <c r="DO250" s="363">
        <v>0</v>
      </c>
      <c r="DP250" s="363">
        <v>0</v>
      </c>
      <c r="DQ250" s="363">
        <v>0</v>
      </c>
      <c r="DR250" s="387">
        <v>0</v>
      </c>
      <c r="DS250" s="387">
        <v>0</v>
      </c>
      <c r="DT250" s="387">
        <v>0</v>
      </c>
      <c r="DU250" s="387">
        <v>0</v>
      </c>
      <c r="DV250" s="387">
        <v>0</v>
      </c>
      <c r="DW250" s="545">
        <f t="shared" si="36"/>
        <v>0</v>
      </c>
      <c r="DX250" s="858"/>
      <c r="DY250" s="706"/>
      <c r="DZ250" s="872"/>
      <c r="EA250" s="873"/>
      <c r="EB250" s="859"/>
      <c r="EC250" s="859"/>
      <c r="ED250" s="859"/>
      <c r="EE250" s="859"/>
      <c r="EF250" s="861"/>
      <c r="EG250" s="1107"/>
      <c r="EI250" s="858"/>
      <c r="EJ250" s="877"/>
      <c r="ER250" s="497"/>
    </row>
    <row r="251" spans="1:148" s="278" customFormat="1" ht="24" outlineLevel="2" x14ac:dyDescent="0.2">
      <c r="A251" s="892"/>
      <c r="B251" s="897" t="s">
        <v>194</v>
      </c>
      <c r="C251" s="902">
        <v>10</v>
      </c>
      <c r="D251" s="863">
        <f>+IFERROR(VLOOKUP(B251,'Detalle Plan de Adquisiciones'!$G$6:$M$66,7,FALSE),0)</f>
        <v>0</v>
      </c>
      <c r="E251" s="866" t="str">
        <f>+'Detalle Plan de Adquisiciones'!F53</f>
        <v>PATIO 4</v>
      </c>
      <c r="F251" s="312" t="s">
        <v>410</v>
      </c>
      <c r="G251" s="354">
        <v>0</v>
      </c>
      <c r="H251" s="354">
        <v>0</v>
      </c>
      <c r="I251" s="354">
        <v>0</v>
      </c>
      <c r="J251" s="354">
        <v>0</v>
      </c>
      <c r="K251" s="354">
        <v>0</v>
      </c>
      <c r="L251" s="354">
        <v>0</v>
      </c>
      <c r="M251" s="354">
        <v>0</v>
      </c>
      <c r="N251" s="354">
        <v>0</v>
      </c>
      <c r="O251" s="354">
        <v>0</v>
      </c>
      <c r="P251" s="354">
        <v>0</v>
      </c>
      <c r="Q251" s="354">
        <v>0</v>
      </c>
      <c r="R251" s="354">
        <v>0</v>
      </c>
      <c r="S251" s="354">
        <v>0</v>
      </c>
      <c r="T251" s="354">
        <v>0</v>
      </c>
      <c r="U251" s="354">
        <v>0</v>
      </c>
      <c r="V251" s="354">
        <v>0</v>
      </c>
      <c r="W251" s="354">
        <v>0</v>
      </c>
      <c r="X251" s="354">
        <v>0</v>
      </c>
      <c r="Y251" s="354">
        <v>0</v>
      </c>
      <c r="Z251" s="354">
        <v>0</v>
      </c>
      <c r="AA251" s="354">
        <v>0</v>
      </c>
      <c r="AB251" s="354">
        <v>0</v>
      </c>
      <c r="AC251" s="354">
        <v>0</v>
      </c>
      <c r="AD251" s="354">
        <v>0</v>
      </c>
      <c r="AE251" s="354">
        <v>0</v>
      </c>
      <c r="AF251" s="354">
        <v>0</v>
      </c>
      <c r="AG251" s="354">
        <v>0</v>
      </c>
      <c r="AH251" s="354">
        <v>0</v>
      </c>
      <c r="AI251" s="354">
        <v>0</v>
      </c>
      <c r="AJ251" s="354">
        <v>0</v>
      </c>
      <c r="AK251" s="354">
        <v>0</v>
      </c>
      <c r="AL251" s="354">
        <v>0</v>
      </c>
      <c r="AM251" s="354">
        <v>0</v>
      </c>
      <c r="AN251" s="354">
        <v>0</v>
      </c>
      <c r="AO251" s="354">
        <v>0</v>
      </c>
      <c r="AP251" s="354">
        <v>0</v>
      </c>
      <c r="AQ251" s="354">
        <v>0</v>
      </c>
      <c r="AR251" s="354">
        <v>0</v>
      </c>
      <c r="AS251" s="354">
        <v>0</v>
      </c>
      <c r="AT251" s="354">
        <v>0</v>
      </c>
      <c r="AU251" s="354">
        <v>0</v>
      </c>
      <c r="AV251" s="354">
        <v>0</v>
      </c>
      <c r="AW251" s="354">
        <v>0</v>
      </c>
      <c r="AX251" s="354">
        <v>0</v>
      </c>
      <c r="AY251" s="354">
        <v>0</v>
      </c>
      <c r="AZ251" s="354">
        <v>0</v>
      </c>
      <c r="BA251" s="354">
        <v>0</v>
      </c>
      <c r="BB251" s="354">
        <v>0</v>
      </c>
      <c r="BC251" s="363">
        <v>0</v>
      </c>
      <c r="BD251" s="363">
        <v>0</v>
      </c>
      <c r="BE251" s="363">
        <v>0</v>
      </c>
      <c r="BF251" s="363">
        <v>0</v>
      </c>
      <c r="BG251" s="363">
        <v>0</v>
      </c>
      <c r="BH251" s="363">
        <v>0</v>
      </c>
      <c r="BI251" s="363">
        <v>0</v>
      </c>
      <c r="BJ251" s="363">
        <v>0</v>
      </c>
      <c r="BK251" s="363">
        <v>0</v>
      </c>
      <c r="BL251" s="363">
        <v>0</v>
      </c>
      <c r="BM251" s="363">
        <v>0</v>
      </c>
      <c r="BN251" s="363">
        <v>0</v>
      </c>
      <c r="BO251" s="363">
        <v>0</v>
      </c>
      <c r="BP251" s="363">
        <v>0</v>
      </c>
      <c r="BQ251" s="363">
        <v>0</v>
      </c>
      <c r="BR251" s="363">
        <v>0</v>
      </c>
      <c r="BS251" s="363">
        <v>0</v>
      </c>
      <c r="BT251" s="363">
        <v>0</v>
      </c>
      <c r="BU251" s="363">
        <v>0</v>
      </c>
      <c r="BV251" s="363">
        <v>0</v>
      </c>
      <c r="BW251" s="363">
        <v>0</v>
      </c>
      <c r="BX251" s="363">
        <v>0</v>
      </c>
      <c r="BY251" s="363">
        <v>0</v>
      </c>
      <c r="BZ251" s="363">
        <v>0</v>
      </c>
      <c r="CA251" s="363">
        <v>0</v>
      </c>
      <c r="CB251" s="363">
        <v>0</v>
      </c>
      <c r="CC251" s="363">
        <v>0</v>
      </c>
      <c r="CD251" s="363">
        <v>0</v>
      </c>
      <c r="CE251" s="363">
        <v>0</v>
      </c>
      <c r="CF251" s="363">
        <v>0</v>
      </c>
      <c r="CG251" s="363">
        <v>0</v>
      </c>
      <c r="CH251" s="363">
        <v>0</v>
      </c>
      <c r="CI251" s="363">
        <v>0</v>
      </c>
      <c r="CJ251" s="363">
        <v>0</v>
      </c>
      <c r="CK251" s="363">
        <v>0</v>
      </c>
      <c r="CL251" s="363">
        <v>0</v>
      </c>
      <c r="CM251" s="363">
        <v>0</v>
      </c>
      <c r="CN251" s="363">
        <v>0</v>
      </c>
      <c r="CO251" s="363">
        <v>0</v>
      </c>
      <c r="CP251" s="363">
        <v>0</v>
      </c>
      <c r="CQ251" s="363">
        <v>0</v>
      </c>
      <c r="CR251" s="363">
        <v>0</v>
      </c>
      <c r="CS251" s="363">
        <v>0</v>
      </c>
      <c r="CT251" s="363">
        <v>0</v>
      </c>
      <c r="CU251" s="363">
        <v>0</v>
      </c>
      <c r="CV251" s="363">
        <v>0</v>
      </c>
      <c r="CW251" s="363">
        <v>0</v>
      </c>
      <c r="CX251" s="363">
        <v>0</v>
      </c>
      <c r="CY251" s="363">
        <v>0</v>
      </c>
      <c r="CZ251" s="363">
        <v>0</v>
      </c>
      <c r="DA251" s="363">
        <v>0</v>
      </c>
      <c r="DB251" s="363">
        <v>0</v>
      </c>
      <c r="DC251" s="363">
        <v>0</v>
      </c>
      <c r="DD251" s="363">
        <v>0</v>
      </c>
      <c r="DE251" s="363">
        <v>0</v>
      </c>
      <c r="DF251" s="363">
        <v>0</v>
      </c>
      <c r="DG251" s="363">
        <v>0</v>
      </c>
      <c r="DH251" s="363">
        <v>0</v>
      </c>
      <c r="DI251" s="363">
        <v>0</v>
      </c>
      <c r="DJ251" s="363">
        <v>0</v>
      </c>
      <c r="DK251" s="363">
        <v>0</v>
      </c>
      <c r="DL251" s="363">
        <v>0</v>
      </c>
      <c r="DM251" s="363">
        <v>0</v>
      </c>
      <c r="DN251" s="363">
        <v>0</v>
      </c>
      <c r="DO251" s="363">
        <v>0</v>
      </c>
      <c r="DP251" s="363">
        <v>0</v>
      </c>
      <c r="DQ251" s="363">
        <v>0</v>
      </c>
      <c r="DR251" s="354">
        <v>0</v>
      </c>
      <c r="DS251" s="354">
        <v>0</v>
      </c>
      <c r="DT251" s="354">
        <v>0</v>
      </c>
      <c r="DU251" s="354">
        <v>0</v>
      </c>
      <c r="DV251" s="354">
        <v>0</v>
      </c>
      <c r="DW251" s="543">
        <f t="shared" si="36"/>
        <v>0</v>
      </c>
      <c r="DX251" s="858">
        <f>DW251+DW252+DW253</f>
        <v>0</v>
      </c>
      <c r="DY251" s="704">
        <f>+DX251*1000000</f>
        <v>0</v>
      </c>
      <c r="DZ251" s="870">
        <f>+DY251-D251</f>
        <v>0</v>
      </c>
      <c r="EA251" s="874" t="str">
        <f>VLOOKUP(POA!$B251,'Detalle Plan de Adquisiciones'!$G$6:$AF$66,23,0)</f>
        <v>N/A</v>
      </c>
      <c r="EB251" s="859" t="str">
        <f>VLOOKUP(POA!$B251,'Detalle Plan de Adquisiciones'!$G$6:$AF$66,25,0)</f>
        <v>N/A</v>
      </c>
      <c r="EC251" s="859" t="e">
        <f>EB251+30</f>
        <v>#VALUE!</v>
      </c>
      <c r="ED251" s="859" t="e">
        <f>CONCATENATE(MONTH(EA251),"-",YEAR(EA251))</f>
        <v>#VALUE!</v>
      </c>
      <c r="EE251" s="859" t="e">
        <f>CONCATENATE(MONTH(EB251),"-",YEAR(EB251))</f>
        <v>#VALUE!</v>
      </c>
      <c r="EF251" s="861" t="e">
        <f>CONCATENATE(MONTH(EC251),"-",YEAR(EC251))</f>
        <v>#VALUE!</v>
      </c>
      <c r="EG251" s="1105" t="e">
        <f>+YEAR(EA251)</f>
        <v>#VALUE!</v>
      </c>
      <c r="EI251" s="858">
        <f>+DW251+DW252+DW253</f>
        <v>0</v>
      </c>
      <c r="EJ251" s="877">
        <f>+D251/1000000-EI251</f>
        <v>0</v>
      </c>
      <c r="ER251" s="497"/>
    </row>
    <row r="252" spans="1:148" s="278" customFormat="1" outlineLevel="2" x14ac:dyDescent="0.2">
      <c r="A252" s="893"/>
      <c r="B252" s="886"/>
      <c r="C252" s="903"/>
      <c r="D252" s="864"/>
      <c r="E252" s="867"/>
      <c r="F252" s="311" t="s">
        <v>210</v>
      </c>
      <c r="G252" s="363">
        <v>0</v>
      </c>
      <c r="H252" s="363">
        <v>0</v>
      </c>
      <c r="I252" s="363">
        <v>0</v>
      </c>
      <c r="J252" s="363">
        <v>0</v>
      </c>
      <c r="K252" s="363">
        <v>0</v>
      </c>
      <c r="L252" s="363">
        <v>0</v>
      </c>
      <c r="M252" s="363">
        <v>0</v>
      </c>
      <c r="N252" s="363">
        <v>0</v>
      </c>
      <c r="O252" s="363">
        <v>0</v>
      </c>
      <c r="P252" s="363">
        <v>0</v>
      </c>
      <c r="Q252" s="363">
        <v>0</v>
      </c>
      <c r="R252" s="363">
        <v>0</v>
      </c>
      <c r="S252" s="363">
        <v>0</v>
      </c>
      <c r="T252" s="363">
        <v>0</v>
      </c>
      <c r="U252" s="363">
        <v>0</v>
      </c>
      <c r="V252" s="363">
        <v>0</v>
      </c>
      <c r="W252" s="363">
        <v>0</v>
      </c>
      <c r="X252" s="363">
        <v>0</v>
      </c>
      <c r="Y252" s="363">
        <v>0</v>
      </c>
      <c r="Z252" s="363">
        <v>0</v>
      </c>
      <c r="AA252" s="363">
        <v>0</v>
      </c>
      <c r="AB252" s="363">
        <v>0</v>
      </c>
      <c r="AC252" s="363">
        <v>0</v>
      </c>
      <c r="AD252" s="363">
        <v>0</v>
      </c>
      <c r="AE252" s="363">
        <v>0</v>
      </c>
      <c r="AF252" s="363">
        <v>0</v>
      </c>
      <c r="AG252" s="363">
        <v>0</v>
      </c>
      <c r="AH252" s="363">
        <v>0</v>
      </c>
      <c r="AI252" s="363">
        <v>0</v>
      </c>
      <c r="AJ252" s="363">
        <v>0</v>
      </c>
      <c r="AK252" s="363">
        <v>0</v>
      </c>
      <c r="AL252" s="363">
        <v>0</v>
      </c>
      <c r="AM252" s="363">
        <v>0</v>
      </c>
      <c r="AN252" s="363">
        <v>0</v>
      </c>
      <c r="AO252" s="363">
        <v>0</v>
      </c>
      <c r="AP252" s="363">
        <v>0</v>
      </c>
      <c r="AQ252" s="363">
        <v>0</v>
      </c>
      <c r="AR252" s="363">
        <v>0</v>
      </c>
      <c r="AS252" s="363">
        <v>0</v>
      </c>
      <c r="AT252" s="363">
        <v>0</v>
      </c>
      <c r="AU252" s="363">
        <v>0</v>
      </c>
      <c r="AV252" s="363">
        <v>0</v>
      </c>
      <c r="AW252" s="363">
        <v>0</v>
      </c>
      <c r="AX252" s="363">
        <v>0</v>
      </c>
      <c r="AY252" s="363">
        <v>0</v>
      </c>
      <c r="AZ252" s="363">
        <v>0</v>
      </c>
      <c r="BA252" s="363">
        <v>0</v>
      </c>
      <c r="BB252" s="363">
        <v>0</v>
      </c>
      <c r="BC252" s="363">
        <v>0</v>
      </c>
      <c r="BD252" s="363">
        <v>0</v>
      </c>
      <c r="BE252" s="363">
        <v>0</v>
      </c>
      <c r="BF252" s="363">
        <v>0</v>
      </c>
      <c r="BG252" s="363">
        <v>0</v>
      </c>
      <c r="BH252" s="363">
        <v>0</v>
      </c>
      <c r="BI252" s="363">
        <v>0</v>
      </c>
      <c r="BJ252" s="363">
        <v>0</v>
      </c>
      <c r="BK252" s="363">
        <v>0</v>
      </c>
      <c r="BL252" s="363">
        <v>0</v>
      </c>
      <c r="BM252" s="363">
        <v>0</v>
      </c>
      <c r="BN252" s="363">
        <v>0</v>
      </c>
      <c r="BO252" s="363">
        <v>0</v>
      </c>
      <c r="BP252" s="363">
        <v>0</v>
      </c>
      <c r="BQ252" s="363">
        <v>0</v>
      </c>
      <c r="BR252" s="363">
        <v>0</v>
      </c>
      <c r="BS252" s="363">
        <v>0</v>
      </c>
      <c r="BT252" s="363">
        <v>0</v>
      </c>
      <c r="BU252" s="363">
        <v>0</v>
      </c>
      <c r="BV252" s="363">
        <v>0</v>
      </c>
      <c r="BW252" s="363">
        <v>0</v>
      </c>
      <c r="BX252" s="363">
        <v>0</v>
      </c>
      <c r="BY252" s="363">
        <v>0</v>
      </c>
      <c r="BZ252" s="363">
        <v>0</v>
      </c>
      <c r="CA252" s="363">
        <v>0</v>
      </c>
      <c r="CB252" s="363">
        <v>0</v>
      </c>
      <c r="CC252" s="363">
        <v>0</v>
      </c>
      <c r="CD252" s="363">
        <v>0</v>
      </c>
      <c r="CE252" s="363">
        <v>0</v>
      </c>
      <c r="CF252" s="363">
        <v>0</v>
      </c>
      <c r="CG252" s="363">
        <v>0</v>
      </c>
      <c r="CH252" s="363">
        <v>0</v>
      </c>
      <c r="CI252" s="363">
        <v>0</v>
      </c>
      <c r="CJ252" s="363">
        <v>0</v>
      </c>
      <c r="CK252" s="363">
        <v>0</v>
      </c>
      <c r="CL252" s="363">
        <v>0</v>
      </c>
      <c r="CM252" s="363">
        <v>0</v>
      </c>
      <c r="CN252" s="363">
        <v>0</v>
      </c>
      <c r="CO252" s="363">
        <v>0</v>
      </c>
      <c r="CP252" s="363">
        <v>0</v>
      </c>
      <c r="CQ252" s="363">
        <v>0</v>
      </c>
      <c r="CR252" s="363">
        <v>0</v>
      </c>
      <c r="CS252" s="363">
        <v>0</v>
      </c>
      <c r="CT252" s="363">
        <v>0</v>
      </c>
      <c r="CU252" s="363">
        <v>0</v>
      </c>
      <c r="CV252" s="363">
        <v>0</v>
      </c>
      <c r="CW252" s="363">
        <v>0</v>
      </c>
      <c r="CX252" s="363">
        <v>0</v>
      </c>
      <c r="CY252" s="363">
        <v>0</v>
      </c>
      <c r="CZ252" s="363">
        <v>0</v>
      </c>
      <c r="DA252" s="363">
        <v>0</v>
      </c>
      <c r="DB252" s="363">
        <v>0</v>
      </c>
      <c r="DC252" s="363">
        <v>0</v>
      </c>
      <c r="DD252" s="363">
        <v>0</v>
      </c>
      <c r="DE252" s="363">
        <v>0</v>
      </c>
      <c r="DF252" s="363">
        <v>0</v>
      </c>
      <c r="DG252" s="363">
        <v>0</v>
      </c>
      <c r="DH252" s="363">
        <v>0</v>
      </c>
      <c r="DI252" s="363">
        <v>0</v>
      </c>
      <c r="DJ252" s="363">
        <v>0</v>
      </c>
      <c r="DK252" s="363">
        <v>0</v>
      </c>
      <c r="DL252" s="363">
        <v>0</v>
      </c>
      <c r="DM252" s="363">
        <v>0</v>
      </c>
      <c r="DN252" s="363">
        <v>0</v>
      </c>
      <c r="DO252" s="363">
        <v>0</v>
      </c>
      <c r="DP252" s="363">
        <v>0</v>
      </c>
      <c r="DQ252" s="363">
        <v>0</v>
      </c>
      <c r="DR252" s="363">
        <v>0</v>
      </c>
      <c r="DS252" s="363">
        <v>0</v>
      </c>
      <c r="DT252" s="363">
        <v>0</v>
      </c>
      <c r="DU252" s="363">
        <v>0</v>
      </c>
      <c r="DV252" s="363">
        <v>0</v>
      </c>
      <c r="DW252" s="544">
        <f t="shared" si="36"/>
        <v>0</v>
      </c>
      <c r="DX252" s="858"/>
      <c r="DY252" s="705"/>
      <c r="DZ252" s="871"/>
      <c r="EA252" s="895"/>
      <c r="EB252" s="859"/>
      <c r="EC252" s="859"/>
      <c r="ED252" s="859"/>
      <c r="EE252" s="859"/>
      <c r="EF252" s="861"/>
      <c r="EG252" s="1106"/>
      <c r="EI252" s="858"/>
      <c r="EJ252" s="877"/>
      <c r="ER252" s="497"/>
    </row>
    <row r="253" spans="1:148" s="278" customFormat="1" ht="12.75" outlineLevel="2" thickBot="1" x14ac:dyDescent="0.25">
      <c r="A253" s="1006"/>
      <c r="B253" s="908"/>
      <c r="C253" s="909"/>
      <c r="D253" s="876"/>
      <c r="E253" s="875"/>
      <c r="F253" s="313" t="s">
        <v>211</v>
      </c>
      <c r="G253" s="387">
        <v>0</v>
      </c>
      <c r="H253" s="387">
        <v>0</v>
      </c>
      <c r="I253" s="387">
        <v>0</v>
      </c>
      <c r="J253" s="387">
        <v>0</v>
      </c>
      <c r="K253" s="387">
        <v>0</v>
      </c>
      <c r="L253" s="387">
        <v>0</v>
      </c>
      <c r="M253" s="387">
        <v>0</v>
      </c>
      <c r="N253" s="387">
        <v>0</v>
      </c>
      <c r="O253" s="387">
        <v>0</v>
      </c>
      <c r="P253" s="387">
        <v>0</v>
      </c>
      <c r="Q253" s="387">
        <v>0</v>
      </c>
      <c r="R253" s="387">
        <v>0</v>
      </c>
      <c r="S253" s="387">
        <v>0</v>
      </c>
      <c r="T253" s="387">
        <v>0</v>
      </c>
      <c r="U253" s="387">
        <v>0</v>
      </c>
      <c r="V253" s="387">
        <v>0</v>
      </c>
      <c r="W253" s="387">
        <v>0</v>
      </c>
      <c r="X253" s="387">
        <v>0</v>
      </c>
      <c r="Y253" s="387">
        <v>0</v>
      </c>
      <c r="Z253" s="387">
        <v>0</v>
      </c>
      <c r="AA253" s="387">
        <v>0</v>
      </c>
      <c r="AB253" s="387">
        <v>0</v>
      </c>
      <c r="AC253" s="387">
        <v>0</v>
      </c>
      <c r="AD253" s="387">
        <v>0</v>
      </c>
      <c r="AE253" s="387">
        <v>0</v>
      </c>
      <c r="AF253" s="387">
        <v>0</v>
      </c>
      <c r="AG253" s="387">
        <v>0</v>
      </c>
      <c r="AH253" s="387">
        <v>0</v>
      </c>
      <c r="AI253" s="387">
        <v>0</v>
      </c>
      <c r="AJ253" s="387">
        <v>0</v>
      </c>
      <c r="AK253" s="387">
        <v>0</v>
      </c>
      <c r="AL253" s="387">
        <v>0</v>
      </c>
      <c r="AM253" s="387">
        <v>0</v>
      </c>
      <c r="AN253" s="387">
        <v>0</v>
      </c>
      <c r="AO253" s="387">
        <v>0</v>
      </c>
      <c r="AP253" s="387">
        <v>0</v>
      </c>
      <c r="AQ253" s="387">
        <v>0</v>
      </c>
      <c r="AR253" s="387">
        <v>0</v>
      </c>
      <c r="AS253" s="387">
        <v>0</v>
      </c>
      <c r="AT253" s="387">
        <v>0</v>
      </c>
      <c r="AU253" s="387">
        <v>0</v>
      </c>
      <c r="AV253" s="387">
        <v>0</v>
      </c>
      <c r="AW253" s="387">
        <v>0</v>
      </c>
      <c r="AX253" s="387">
        <v>0</v>
      </c>
      <c r="AY253" s="387">
        <v>0</v>
      </c>
      <c r="AZ253" s="387">
        <v>0</v>
      </c>
      <c r="BA253" s="387">
        <v>0</v>
      </c>
      <c r="BB253" s="387">
        <v>0</v>
      </c>
      <c r="BC253" s="363">
        <v>0</v>
      </c>
      <c r="BD253" s="363">
        <v>0</v>
      </c>
      <c r="BE253" s="363">
        <v>0</v>
      </c>
      <c r="BF253" s="363">
        <v>0</v>
      </c>
      <c r="BG253" s="363">
        <v>0</v>
      </c>
      <c r="BH253" s="363">
        <v>0</v>
      </c>
      <c r="BI253" s="363">
        <v>0</v>
      </c>
      <c r="BJ253" s="363">
        <v>0</v>
      </c>
      <c r="BK253" s="363">
        <v>0</v>
      </c>
      <c r="BL253" s="363">
        <v>0</v>
      </c>
      <c r="BM253" s="363">
        <v>0</v>
      </c>
      <c r="BN253" s="363">
        <v>0</v>
      </c>
      <c r="BO253" s="363">
        <v>0</v>
      </c>
      <c r="BP253" s="363">
        <v>0</v>
      </c>
      <c r="BQ253" s="363">
        <v>0</v>
      </c>
      <c r="BR253" s="363">
        <v>0</v>
      </c>
      <c r="BS253" s="363">
        <v>0</v>
      </c>
      <c r="BT253" s="363">
        <v>0</v>
      </c>
      <c r="BU253" s="363">
        <v>0</v>
      </c>
      <c r="BV253" s="363">
        <v>0</v>
      </c>
      <c r="BW253" s="363">
        <v>0</v>
      </c>
      <c r="BX253" s="363">
        <v>0</v>
      </c>
      <c r="BY253" s="363">
        <v>0</v>
      </c>
      <c r="BZ253" s="363">
        <v>0</v>
      </c>
      <c r="CA253" s="363">
        <v>0</v>
      </c>
      <c r="CB253" s="363">
        <v>0</v>
      </c>
      <c r="CC253" s="363">
        <v>0</v>
      </c>
      <c r="CD253" s="363">
        <v>0</v>
      </c>
      <c r="CE253" s="363">
        <v>0</v>
      </c>
      <c r="CF253" s="363">
        <v>0</v>
      </c>
      <c r="CG253" s="363">
        <v>0</v>
      </c>
      <c r="CH253" s="363">
        <v>0</v>
      </c>
      <c r="CI253" s="363">
        <v>0</v>
      </c>
      <c r="CJ253" s="363">
        <v>0</v>
      </c>
      <c r="CK253" s="363">
        <v>0</v>
      </c>
      <c r="CL253" s="363">
        <v>0</v>
      </c>
      <c r="CM253" s="363">
        <v>0</v>
      </c>
      <c r="CN253" s="363">
        <v>0</v>
      </c>
      <c r="CO253" s="363">
        <v>0</v>
      </c>
      <c r="CP253" s="363">
        <v>0</v>
      </c>
      <c r="CQ253" s="363">
        <v>0</v>
      </c>
      <c r="CR253" s="363">
        <v>0</v>
      </c>
      <c r="CS253" s="363">
        <v>0</v>
      </c>
      <c r="CT253" s="363">
        <v>0</v>
      </c>
      <c r="CU253" s="363">
        <v>0</v>
      </c>
      <c r="CV253" s="363">
        <v>0</v>
      </c>
      <c r="CW253" s="363">
        <v>0</v>
      </c>
      <c r="CX253" s="363">
        <v>0</v>
      </c>
      <c r="CY253" s="363"/>
      <c r="CZ253" s="363"/>
      <c r="DA253" s="363"/>
      <c r="DB253" s="363"/>
      <c r="DC253" s="363"/>
      <c r="DD253" s="363"/>
      <c r="DE253" s="363"/>
      <c r="DF253" s="363"/>
      <c r="DG253" s="363"/>
      <c r="DH253" s="363"/>
      <c r="DI253" s="363"/>
      <c r="DJ253" s="363"/>
      <c r="DK253" s="363">
        <v>0</v>
      </c>
      <c r="DL253" s="363">
        <v>0</v>
      </c>
      <c r="DM253" s="363">
        <v>0</v>
      </c>
      <c r="DN253" s="363">
        <v>0</v>
      </c>
      <c r="DO253" s="363">
        <v>0</v>
      </c>
      <c r="DP253" s="363">
        <v>0</v>
      </c>
      <c r="DQ253" s="363">
        <v>0</v>
      </c>
      <c r="DR253" s="387">
        <v>0</v>
      </c>
      <c r="DS253" s="387">
        <v>0</v>
      </c>
      <c r="DT253" s="387">
        <v>0</v>
      </c>
      <c r="DU253" s="387">
        <v>0</v>
      </c>
      <c r="DV253" s="387">
        <v>0</v>
      </c>
      <c r="DW253" s="545">
        <f t="shared" si="36"/>
        <v>0</v>
      </c>
      <c r="DX253" s="858"/>
      <c r="DY253" s="706"/>
      <c r="DZ253" s="872"/>
      <c r="EA253" s="896"/>
      <c r="EB253" s="859"/>
      <c r="EC253" s="859"/>
      <c r="ED253" s="859"/>
      <c r="EE253" s="859"/>
      <c r="EF253" s="861"/>
      <c r="EG253" s="1107"/>
      <c r="EI253" s="858"/>
      <c r="EJ253" s="877"/>
      <c r="ER253" s="497"/>
    </row>
    <row r="254" spans="1:148" s="58" customFormat="1" ht="24" outlineLevel="2" x14ac:dyDescent="0.2">
      <c r="A254" s="928"/>
      <c r="B254" s="897" t="s">
        <v>171</v>
      </c>
      <c r="C254" s="902">
        <v>3</v>
      </c>
      <c r="D254" s="863">
        <f>+IFERROR(VLOOKUP(B254,'Detalle Plan de Adquisiciones'!$G$6:$M$66,7,FALSE),0)</f>
        <v>0</v>
      </c>
      <c r="E254" s="866" t="str">
        <f>+'Detalle Plan de Adquisiciones'!F54</f>
        <v>PTN FURATENA</v>
      </c>
      <c r="F254" s="312" t="s">
        <v>410</v>
      </c>
      <c r="G254" s="354">
        <v>0</v>
      </c>
      <c r="H254" s="354">
        <v>0</v>
      </c>
      <c r="I254" s="354">
        <v>0</v>
      </c>
      <c r="J254" s="354">
        <v>0</v>
      </c>
      <c r="K254" s="354">
        <v>0</v>
      </c>
      <c r="L254" s="354">
        <v>0</v>
      </c>
      <c r="M254" s="354">
        <v>0</v>
      </c>
      <c r="N254" s="354">
        <v>0</v>
      </c>
      <c r="O254" s="354">
        <v>0</v>
      </c>
      <c r="P254" s="354">
        <v>0</v>
      </c>
      <c r="Q254" s="354">
        <v>0</v>
      </c>
      <c r="R254" s="354">
        <v>0</v>
      </c>
      <c r="S254" s="354">
        <v>0</v>
      </c>
      <c r="T254" s="354">
        <v>0</v>
      </c>
      <c r="U254" s="354">
        <v>0</v>
      </c>
      <c r="V254" s="354">
        <v>0</v>
      </c>
      <c r="W254" s="354">
        <v>0</v>
      </c>
      <c r="X254" s="354">
        <v>0</v>
      </c>
      <c r="Y254" s="354">
        <v>0</v>
      </c>
      <c r="Z254" s="354">
        <v>0</v>
      </c>
      <c r="AA254" s="354">
        <v>0</v>
      </c>
      <c r="AB254" s="354">
        <v>0</v>
      </c>
      <c r="AC254" s="354">
        <v>0</v>
      </c>
      <c r="AD254" s="354">
        <v>0</v>
      </c>
      <c r="AE254" s="354">
        <v>0</v>
      </c>
      <c r="AF254" s="354">
        <v>0</v>
      </c>
      <c r="AG254" s="354">
        <v>0</v>
      </c>
      <c r="AH254" s="354">
        <v>0</v>
      </c>
      <c r="AI254" s="354">
        <v>0</v>
      </c>
      <c r="AJ254" s="354">
        <v>0</v>
      </c>
      <c r="AK254" s="354">
        <v>0</v>
      </c>
      <c r="AL254" s="354">
        <v>0</v>
      </c>
      <c r="AM254" s="354">
        <v>0</v>
      </c>
      <c r="AN254" s="354">
        <v>0</v>
      </c>
      <c r="AO254" s="354">
        <v>0</v>
      </c>
      <c r="AP254" s="354">
        <v>0</v>
      </c>
      <c r="AQ254" s="354">
        <v>0</v>
      </c>
      <c r="AR254" s="354">
        <v>0</v>
      </c>
      <c r="AS254" s="354">
        <v>0</v>
      </c>
      <c r="AT254" s="354">
        <v>0</v>
      </c>
      <c r="AU254" s="354">
        <v>0</v>
      </c>
      <c r="AV254" s="354">
        <v>0</v>
      </c>
      <c r="AW254" s="354">
        <v>0</v>
      </c>
      <c r="AX254" s="354">
        <v>0</v>
      </c>
      <c r="AY254" s="354">
        <v>0</v>
      </c>
      <c r="AZ254" s="354">
        <v>0</v>
      </c>
      <c r="BA254" s="354">
        <v>0</v>
      </c>
      <c r="BB254" s="354">
        <v>0</v>
      </c>
      <c r="BC254" s="363">
        <v>0</v>
      </c>
      <c r="BD254" s="363">
        <v>0</v>
      </c>
      <c r="BE254" s="363">
        <v>0</v>
      </c>
      <c r="BF254" s="363">
        <v>0</v>
      </c>
      <c r="BG254" s="363">
        <v>0</v>
      </c>
      <c r="BH254" s="363">
        <v>0</v>
      </c>
      <c r="BI254" s="363">
        <v>0</v>
      </c>
      <c r="BJ254" s="363">
        <v>0</v>
      </c>
      <c r="BK254" s="363">
        <v>0</v>
      </c>
      <c r="BL254" s="363">
        <v>0</v>
      </c>
      <c r="BM254" s="363">
        <v>0</v>
      </c>
      <c r="BN254" s="363">
        <v>0</v>
      </c>
      <c r="BO254" s="363">
        <v>0</v>
      </c>
      <c r="BP254" s="363">
        <v>0</v>
      </c>
      <c r="BQ254" s="363">
        <v>0</v>
      </c>
      <c r="BR254" s="363">
        <v>0</v>
      </c>
      <c r="BS254" s="363">
        <v>0</v>
      </c>
      <c r="BT254" s="363">
        <v>0</v>
      </c>
      <c r="BU254" s="363">
        <v>0</v>
      </c>
      <c r="BV254" s="363">
        <v>0</v>
      </c>
      <c r="BW254" s="363">
        <v>0</v>
      </c>
      <c r="BX254" s="363">
        <v>0</v>
      </c>
      <c r="BY254" s="363">
        <v>0</v>
      </c>
      <c r="BZ254" s="363">
        <v>0</v>
      </c>
      <c r="CA254" s="363">
        <v>0</v>
      </c>
      <c r="CB254" s="363">
        <v>0</v>
      </c>
      <c r="CC254" s="363">
        <v>0</v>
      </c>
      <c r="CD254" s="363">
        <v>0</v>
      </c>
      <c r="CE254" s="363">
        <v>0</v>
      </c>
      <c r="CF254" s="363">
        <v>0</v>
      </c>
      <c r="CG254" s="363">
        <v>0</v>
      </c>
      <c r="CH254" s="363">
        <v>0</v>
      </c>
      <c r="CI254" s="363">
        <v>0</v>
      </c>
      <c r="CJ254" s="363">
        <v>0</v>
      </c>
      <c r="CK254" s="363">
        <v>0</v>
      </c>
      <c r="CL254" s="363">
        <v>0</v>
      </c>
      <c r="CM254" s="363">
        <v>0</v>
      </c>
      <c r="CN254" s="363">
        <v>0</v>
      </c>
      <c r="CO254" s="363">
        <v>0</v>
      </c>
      <c r="CP254" s="363">
        <v>0</v>
      </c>
      <c r="CQ254" s="363">
        <v>0</v>
      </c>
      <c r="CR254" s="363">
        <v>0</v>
      </c>
      <c r="CS254" s="363">
        <v>0</v>
      </c>
      <c r="CT254" s="363">
        <v>0</v>
      </c>
      <c r="CU254" s="363">
        <v>0</v>
      </c>
      <c r="CV254" s="363">
        <v>0</v>
      </c>
      <c r="CW254" s="363">
        <v>0</v>
      </c>
      <c r="CX254" s="363">
        <v>0</v>
      </c>
      <c r="CY254" s="363">
        <v>0</v>
      </c>
      <c r="CZ254" s="363">
        <v>0</v>
      </c>
      <c r="DA254" s="363">
        <v>0</v>
      </c>
      <c r="DB254" s="363">
        <v>0</v>
      </c>
      <c r="DC254" s="363">
        <v>0</v>
      </c>
      <c r="DD254" s="363">
        <v>0</v>
      </c>
      <c r="DE254" s="363">
        <v>0</v>
      </c>
      <c r="DF254" s="363">
        <v>0</v>
      </c>
      <c r="DG254" s="363">
        <v>0</v>
      </c>
      <c r="DH254" s="363">
        <v>0</v>
      </c>
      <c r="DI254" s="363">
        <v>0</v>
      </c>
      <c r="DJ254" s="363">
        <v>0</v>
      </c>
      <c r="DK254" s="363">
        <v>0</v>
      </c>
      <c r="DL254" s="363">
        <v>0</v>
      </c>
      <c r="DM254" s="363">
        <v>0</v>
      </c>
      <c r="DN254" s="363">
        <v>0</v>
      </c>
      <c r="DO254" s="363">
        <v>0</v>
      </c>
      <c r="DP254" s="363">
        <v>0</v>
      </c>
      <c r="DQ254" s="363">
        <v>0</v>
      </c>
      <c r="DR254" s="354">
        <v>0</v>
      </c>
      <c r="DS254" s="354">
        <v>0</v>
      </c>
      <c r="DT254" s="354">
        <v>0</v>
      </c>
      <c r="DU254" s="354">
        <v>0</v>
      </c>
      <c r="DV254" s="354">
        <v>0</v>
      </c>
      <c r="DW254" s="543">
        <f t="shared" si="36"/>
        <v>0</v>
      </c>
      <c r="DX254" s="858">
        <f>DW254+DW255+DW256</f>
        <v>0</v>
      </c>
      <c r="DY254" s="704">
        <f>+DX254*1000000</f>
        <v>0</v>
      </c>
      <c r="DZ254" s="870">
        <f>+DY254-D254</f>
        <v>0</v>
      </c>
      <c r="EA254" s="873" t="str">
        <f>VLOOKUP(POA!$B254,'Detalle Plan de Adquisiciones'!$G$6:$AF$66,23,0)</f>
        <v>N/A</v>
      </c>
      <c r="EB254" s="859" t="str">
        <f>VLOOKUP(POA!$B254,'Detalle Plan de Adquisiciones'!$G$6:$AF$66,25,0)</f>
        <v>N/A</v>
      </c>
      <c r="EC254" s="859" t="e">
        <f>EB254+30</f>
        <v>#VALUE!</v>
      </c>
      <c r="ED254" s="859" t="e">
        <f>CONCATENATE(MONTH(EA254),"-",YEAR(EA254))</f>
        <v>#VALUE!</v>
      </c>
      <c r="EE254" s="859" t="e">
        <f>CONCATENATE(MONTH(EB254),"-",YEAR(EB254))</f>
        <v>#VALUE!</v>
      </c>
      <c r="EF254" s="861" t="e">
        <f>CONCATENATE(MONTH(EC254),"-",YEAR(EC254))</f>
        <v>#VALUE!</v>
      </c>
      <c r="EG254" s="1105" t="e">
        <f>+YEAR(EA254)</f>
        <v>#VALUE!</v>
      </c>
      <c r="EH254" s="32"/>
      <c r="EI254" s="858">
        <f>+DW254+DW255+DW256</f>
        <v>0</v>
      </c>
      <c r="EJ254" s="877">
        <f>+D254/1000000-EI254</f>
        <v>0</v>
      </c>
      <c r="EK254" s="32"/>
      <c r="EL254" s="32"/>
      <c r="ER254" s="501"/>
    </row>
    <row r="255" spans="1:148" s="278" customFormat="1" outlineLevel="2" x14ac:dyDescent="0.2">
      <c r="A255" s="929"/>
      <c r="B255" s="886"/>
      <c r="C255" s="903"/>
      <c r="D255" s="864"/>
      <c r="E255" s="867"/>
      <c r="F255" s="311" t="s">
        <v>210</v>
      </c>
      <c r="G255" s="363">
        <v>0</v>
      </c>
      <c r="H255" s="363">
        <v>0</v>
      </c>
      <c r="I255" s="363">
        <v>0</v>
      </c>
      <c r="J255" s="363">
        <v>0</v>
      </c>
      <c r="K255" s="363">
        <v>0</v>
      </c>
      <c r="L255" s="363">
        <v>0</v>
      </c>
      <c r="M255" s="363">
        <v>0</v>
      </c>
      <c r="N255" s="363">
        <v>0</v>
      </c>
      <c r="O255" s="363">
        <v>0</v>
      </c>
      <c r="P255" s="363">
        <v>0</v>
      </c>
      <c r="Q255" s="363">
        <v>0</v>
      </c>
      <c r="R255" s="363">
        <v>0</v>
      </c>
      <c r="S255" s="363">
        <v>0</v>
      </c>
      <c r="T255" s="363">
        <v>0</v>
      </c>
      <c r="U255" s="363">
        <v>0</v>
      </c>
      <c r="V255" s="363">
        <v>0</v>
      </c>
      <c r="W255" s="363">
        <v>0</v>
      </c>
      <c r="X255" s="363">
        <v>0</v>
      </c>
      <c r="Y255" s="363">
        <v>0</v>
      </c>
      <c r="Z255" s="363">
        <v>0</v>
      </c>
      <c r="AA255" s="363">
        <v>0</v>
      </c>
      <c r="AB255" s="363">
        <v>0</v>
      </c>
      <c r="AC255" s="363">
        <v>0</v>
      </c>
      <c r="AD255" s="363">
        <v>0</v>
      </c>
      <c r="AE255" s="363">
        <v>0</v>
      </c>
      <c r="AF255" s="363">
        <v>0</v>
      </c>
      <c r="AG255" s="363">
        <v>0</v>
      </c>
      <c r="AH255" s="363">
        <v>0</v>
      </c>
      <c r="AI255" s="363">
        <v>0</v>
      </c>
      <c r="AJ255" s="363">
        <v>0</v>
      </c>
      <c r="AK255" s="363">
        <v>0</v>
      </c>
      <c r="AL255" s="363">
        <v>0</v>
      </c>
      <c r="AM255" s="363">
        <v>0</v>
      </c>
      <c r="AN255" s="363">
        <v>0</v>
      </c>
      <c r="AO255" s="363">
        <v>0</v>
      </c>
      <c r="AP255" s="363">
        <v>0</v>
      </c>
      <c r="AQ255" s="363">
        <v>0</v>
      </c>
      <c r="AR255" s="363">
        <v>0</v>
      </c>
      <c r="AS255" s="363">
        <v>0</v>
      </c>
      <c r="AT255" s="363">
        <v>0</v>
      </c>
      <c r="AU255" s="363">
        <v>0</v>
      </c>
      <c r="AV255" s="363">
        <v>0</v>
      </c>
      <c r="AW255" s="363">
        <v>0</v>
      </c>
      <c r="AX255" s="363">
        <v>0</v>
      </c>
      <c r="AY255" s="363">
        <v>0</v>
      </c>
      <c r="AZ255" s="363">
        <v>0</v>
      </c>
      <c r="BA255" s="363">
        <v>0</v>
      </c>
      <c r="BB255" s="363">
        <v>0</v>
      </c>
      <c r="BC255" s="363">
        <v>0</v>
      </c>
      <c r="BD255" s="363">
        <v>0</v>
      </c>
      <c r="BE255" s="363">
        <v>0</v>
      </c>
      <c r="BF255" s="363">
        <v>0</v>
      </c>
      <c r="BG255" s="363">
        <v>0</v>
      </c>
      <c r="BH255" s="363">
        <v>0</v>
      </c>
      <c r="BI255" s="363">
        <v>0</v>
      </c>
      <c r="BJ255" s="363">
        <v>0</v>
      </c>
      <c r="BK255" s="363">
        <v>0</v>
      </c>
      <c r="BL255" s="363">
        <v>0</v>
      </c>
      <c r="BM255" s="363">
        <v>0</v>
      </c>
      <c r="BN255" s="363">
        <v>0</v>
      </c>
      <c r="BO255" s="363">
        <v>0</v>
      </c>
      <c r="BP255" s="363">
        <v>0</v>
      </c>
      <c r="BQ255" s="363">
        <v>0</v>
      </c>
      <c r="BR255" s="363">
        <v>0</v>
      </c>
      <c r="BS255" s="363">
        <v>0</v>
      </c>
      <c r="BT255" s="363">
        <v>0</v>
      </c>
      <c r="BU255" s="363">
        <v>0</v>
      </c>
      <c r="BV255" s="363">
        <v>0</v>
      </c>
      <c r="BW255" s="363">
        <v>0</v>
      </c>
      <c r="BX255" s="363">
        <v>0</v>
      </c>
      <c r="BY255" s="363">
        <v>0</v>
      </c>
      <c r="BZ255" s="363">
        <v>0</v>
      </c>
      <c r="CA255" s="363">
        <v>0</v>
      </c>
      <c r="CB255" s="363">
        <v>0</v>
      </c>
      <c r="CC255" s="363">
        <v>0</v>
      </c>
      <c r="CD255" s="363">
        <v>0</v>
      </c>
      <c r="CE255" s="363">
        <v>0</v>
      </c>
      <c r="CF255" s="363">
        <v>0</v>
      </c>
      <c r="CG255" s="363">
        <v>0</v>
      </c>
      <c r="CH255" s="363">
        <v>0</v>
      </c>
      <c r="CI255" s="363">
        <v>0</v>
      </c>
      <c r="CJ255" s="363">
        <v>0</v>
      </c>
      <c r="CK255" s="363">
        <v>0</v>
      </c>
      <c r="CL255" s="363">
        <v>0</v>
      </c>
      <c r="CM255" s="363">
        <v>0</v>
      </c>
      <c r="CN255" s="363">
        <v>0</v>
      </c>
      <c r="CO255" s="363">
        <v>0</v>
      </c>
      <c r="CP255" s="363">
        <v>0</v>
      </c>
      <c r="CQ255" s="363">
        <v>0</v>
      </c>
      <c r="CR255" s="363">
        <v>0</v>
      </c>
      <c r="CS255" s="363">
        <v>0</v>
      </c>
      <c r="CT255" s="363">
        <v>0</v>
      </c>
      <c r="CU255" s="363">
        <v>0</v>
      </c>
      <c r="CV255" s="363">
        <v>0</v>
      </c>
      <c r="CW255" s="363">
        <v>0</v>
      </c>
      <c r="CX255" s="363">
        <v>0</v>
      </c>
      <c r="CY255" s="363">
        <v>0</v>
      </c>
      <c r="CZ255" s="363">
        <v>0</v>
      </c>
      <c r="DA255" s="363">
        <v>0</v>
      </c>
      <c r="DB255" s="363">
        <v>0</v>
      </c>
      <c r="DC255" s="363">
        <v>0</v>
      </c>
      <c r="DD255" s="363">
        <v>0</v>
      </c>
      <c r="DE255" s="363">
        <v>0</v>
      </c>
      <c r="DF255" s="363">
        <v>0</v>
      </c>
      <c r="DG255" s="363">
        <v>0</v>
      </c>
      <c r="DH255" s="363">
        <v>0</v>
      </c>
      <c r="DI255" s="363">
        <v>0</v>
      </c>
      <c r="DJ255" s="363">
        <v>0</v>
      </c>
      <c r="DK255" s="363">
        <v>0</v>
      </c>
      <c r="DL255" s="363">
        <v>0</v>
      </c>
      <c r="DM255" s="363">
        <v>0</v>
      </c>
      <c r="DN255" s="363">
        <v>0</v>
      </c>
      <c r="DO255" s="363">
        <v>0</v>
      </c>
      <c r="DP255" s="363">
        <v>0</v>
      </c>
      <c r="DQ255" s="363">
        <v>0</v>
      </c>
      <c r="DR255" s="363">
        <v>0</v>
      </c>
      <c r="DS255" s="363">
        <v>0</v>
      </c>
      <c r="DT255" s="363">
        <v>0</v>
      </c>
      <c r="DU255" s="363">
        <v>0</v>
      </c>
      <c r="DV255" s="363">
        <v>0</v>
      </c>
      <c r="DW255" s="544">
        <f t="shared" si="36"/>
        <v>0</v>
      </c>
      <c r="DX255" s="858"/>
      <c r="DY255" s="705"/>
      <c r="DZ255" s="871"/>
      <c r="EA255" s="873"/>
      <c r="EB255" s="859"/>
      <c r="EC255" s="859"/>
      <c r="ED255" s="859"/>
      <c r="EE255" s="859"/>
      <c r="EF255" s="861"/>
      <c r="EG255" s="1106"/>
      <c r="EI255" s="858"/>
      <c r="EJ255" s="877"/>
      <c r="ER255" s="497"/>
    </row>
    <row r="256" spans="1:148" s="278" customFormat="1" ht="12.75" outlineLevel="2" thickBot="1" x14ac:dyDescent="0.25">
      <c r="A256" s="930"/>
      <c r="B256" s="887"/>
      <c r="C256" s="904"/>
      <c r="D256" s="865"/>
      <c r="E256" s="875"/>
      <c r="F256" s="315" t="s">
        <v>211</v>
      </c>
      <c r="G256" s="364">
        <v>0</v>
      </c>
      <c r="H256" s="364">
        <v>0</v>
      </c>
      <c r="I256" s="364">
        <v>0</v>
      </c>
      <c r="J256" s="364">
        <v>0</v>
      </c>
      <c r="K256" s="364">
        <v>0</v>
      </c>
      <c r="L256" s="364">
        <v>0</v>
      </c>
      <c r="M256" s="364">
        <v>0</v>
      </c>
      <c r="N256" s="364">
        <v>0</v>
      </c>
      <c r="O256" s="364">
        <v>0</v>
      </c>
      <c r="P256" s="364">
        <v>0</v>
      </c>
      <c r="Q256" s="364">
        <v>0</v>
      </c>
      <c r="R256" s="364">
        <v>0</v>
      </c>
      <c r="S256" s="364">
        <v>0</v>
      </c>
      <c r="T256" s="364">
        <v>0</v>
      </c>
      <c r="U256" s="364">
        <v>0</v>
      </c>
      <c r="V256" s="364">
        <v>0</v>
      </c>
      <c r="W256" s="364">
        <v>0</v>
      </c>
      <c r="X256" s="364">
        <v>0</v>
      </c>
      <c r="Y256" s="364">
        <v>0</v>
      </c>
      <c r="Z256" s="364">
        <v>0</v>
      </c>
      <c r="AA256" s="364">
        <v>0</v>
      </c>
      <c r="AB256" s="364">
        <v>0</v>
      </c>
      <c r="AC256" s="364">
        <v>0</v>
      </c>
      <c r="AD256" s="364">
        <v>0</v>
      </c>
      <c r="AE256" s="364">
        <v>0</v>
      </c>
      <c r="AF256" s="364">
        <v>0</v>
      </c>
      <c r="AG256" s="364">
        <v>0</v>
      </c>
      <c r="AH256" s="364">
        <v>0</v>
      </c>
      <c r="AI256" s="364">
        <v>0</v>
      </c>
      <c r="AJ256" s="364">
        <v>0</v>
      </c>
      <c r="AK256" s="364">
        <v>0</v>
      </c>
      <c r="AL256" s="364">
        <v>0</v>
      </c>
      <c r="AM256" s="364">
        <v>0</v>
      </c>
      <c r="AN256" s="364">
        <v>0</v>
      </c>
      <c r="AO256" s="364">
        <v>0</v>
      </c>
      <c r="AP256" s="364">
        <v>0</v>
      </c>
      <c r="AQ256" s="364">
        <v>0</v>
      </c>
      <c r="AR256" s="364">
        <v>0</v>
      </c>
      <c r="AS256" s="364">
        <v>0</v>
      </c>
      <c r="AT256" s="364">
        <v>0</v>
      </c>
      <c r="AU256" s="364">
        <v>0</v>
      </c>
      <c r="AV256" s="364">
        <v>0</v>
      </c>
      <c r="AW256" s="364">
        <v>0</v>
      </c>
      <c r="AX256" s="364">
        <v>0</v>
      </c>
      <c r="AY256" s="364">
        <v>0</v>
      </c>
      <c r="AZ256" s="364">
        <v>0</v>
      </c>
      <c r="BA256" s="364">
        <v>0</v>
      </c>
      <c r="BB256" s="364">
        <v>0</v>
      </c>
      <c r="BC256" s="363">
        <v>0</v>
      </c>
      <c r="BD256" s="363">
        <v>0</v>
      </c>
      <c r="BE256" s="363">
        <v>0</v>
      </c>
      <c r="BF256" s="363">
        <v>0</v>
      </c>
      <c r="BG256" s="363">
        <v>0</v>
      </c>
      <c r="BH256" s="363">
        <v>0</v>
      </c>
      <c r="BI256" s="363">
        <v>0</v>
      </c>
      <c r="BJ256" s="363">
        <v>0</v>
      </c>
      <c r="BK256" s="363">
        <v>0</v>
      </c>
      <c r="BL256" s="363">
        <v>0</v>
      </c>
      <c r="BM256" s="363">
        <v>0</v>
      </c>
      <c r="BN256" s="363">
        <v>0</v>
      </c>
      <c r="BO256" s="363">
        <v>0</v>
      </c>
      <c r="BP256" s="363">
        <v>0</v>
      </c>
      <c r="BQ256" s="363">
        <v>0</v>
      </c>
      <c r="BR256" s="363">
        <v>0</v>
      </c>
      <c r="BS256" s="363">
        <v>0</v>
      </c>
      <c r="BT256" s="363">
        <v>0</v>
      </c>
      <c r="BU256" s="363">
        <v>0</v>
      </c>
      <c r="BV256" s="363">
        <v>0</v>
      </c>
      <c r="BW256" s="363">
        <v>0</v>
      </c>
      <c r="BX256" s="363">
        <v>0</v>
      </c>
      <c r="BY256" s="363">
        <v>0</v>
      </c>
      <c r="BZ256" s="363">
        <v>0</v>
      </c>
      <c r="CA256" s="363">
        <v>0</v>
      </c>
      <c r="CB256" s="363">
        <v>0</v>
      </c>
      <c r="CC256" s="363">
        <v>0</v>
      </c>
      <c r="CD256" s="363">
        <v>0</v>
      </c>
      <c r="CE256" s="363">
        <v>0</v>
      </c>
      <c r="CF256" s="363">
        <v>0</v>
      </c>
      <c r="CG256" s="363">
        <v>0</v>
      </c>
      <c r="CH256" s="363">
        <v>0</v>
      </c>
      <c r="CI256" s="363">
        <v>0</v>
      </c>
      <c r="CJ256" s="363">
        <v>0</v>
      </c>
      <c r="CK256" s="363">
        <v>0</v>
      </c>
      <c r="CL256" s="363">
        <v>0</v>
      </c>
      <c r="CM256" s="363">
        <v>0</v>
      </c>
      <c r="CN256" s="363">
        <v>0</v>
      </c>
      <c r="CO256" s="363">
        <v>0</v>
      </c>
      <c r="CP256" s="363">
        <v>0</v>
      </c>
      <c r="CQ256" s="363">
        <v>0</v>
      </c>
      <c r="CR256" s="363">
        <v>0</v>
      </c>
      <c r="CS256" s="363">
        <v>0</v>
      </c>
      <c r="CT256" s="363">
        <v>0</v>
      </c>
      <c r="CU256" s="363">
        <v>0</v>
      </c>
      <c r="CV256" s="363">
        <v>0</v>
      </c>
      <c r="CW256" s="363">
        <v>0</v>
      </c>
      <c r="CX256" s="363">
        <v>0</v>
      </c>
      <c r="CY256" s="363">
        <v>0</v>
      </c>
      <c r="CZ256" s="363">
        <v>0</v>
      </c>
      <c r="DA256" s="363">
        <v>0</v>
      </c>
      <c r="DB256" s="363">
        <v>0</v>
      </c>
      <c r="DC256" s="363">
        <v>0</v>
      </c>
      <c r="DD256" s="363">
        <v>0</v>
      </c>
      <c r="DE256" s="363">
        <v>0</v>
      </c>
      <c r="DF256" s="363">
        <v>0</v>
      </c>
      <c r="DG256" s="363">
        <v>0</v>
      </c>
      <c r="DH256" s="363">
        <v>0</v>
      </c>
      <c r="DI256" s="363">
        <v>0</v>
      </c>
      <c r="DJ256" s="363">
        <v>0</v>
      </c>
      <c r="DK256" s="363">
        <v>0</v>
      </c>
      <c r="DL256" s="363">
        <v>0</v>
      </c>
      <c r="DM256" s="363">
        <v>0</v>
      </c>
      <c r="DN256" s="363">
        <v>0</v>
      </c>
      <c r="DO256" s="363">
        <v>0</v>
      </c>
      <c r="DP256" s="363">
        <v>0</v>
      </c>
      <c r="DQ256" s="363">
        <v>0</v>
      </c>
      <c r="DR256" s="364">
        <v>0</v>
      </c>
      <c r="DS256" s="364">
        <v>0</v>
      </c>
      <c r="DT256" s="364">
        <v>0</v>
      </c>
      <c r="DU256" s="364">
        <v>0</v>
      </c>
      <c r="DV256" s="364">
        <v>0</v>
      </c>
      <c r="DW256" s="545">
        <f t="shared" si="36"/>
        <v>0</v>
      </c>
      <c r="DX256" s="858"/>
      <c r="DY256" s="706"/>
      <c r="DZ256" s="872"/>
      <c r="EA256" s="873"/>
      <c r="EB256" s="859"/>
      <c r="EC256" s="859"/>
      <c r="ED256" s="859"/>
      <c r="EE256" s="859"/>
      <c r="EF256" s="861"/>
      <c r="EG256" s="1107"/>
      <c r="EI256" s="858"/>
      <c r="EJ256" s="877"/>
      <c r="ER256" s="497"/>
    </row>
    <row r="257" spans="1:148" s="278" customFormat="1" ht="24" outlineLevel="2" x14ac:dyDescent="0.2">
      <c r="A257" s="928"/>
      <c r="B257" s="897" t="s">
        <v>172</v>
      </c>
      <c r="C257" s="902">
        <v>3</v>
      </c>
      <c r="D257" s="863">
        <f>+IFERROR(VLOOKUP(B257,'Detalle Plan de Adquisiciones'!$G$6:$M$66,7,FALSE),0)</f>
        <v>0</v>
      </c>
      <c r="E257" s="866" t="str">
        <f>+'Detalle Plan de Adquisiciones'!F55</f>
        <v>PTN EN LA DIAGONAL 2E ENTRE TRANSVERSAL 9 Y EL CEMENTERIO DEL P5.</v>
      </c>
      <c r="F257" s="312" t="s">
        <v>410</v>
      </c>
      <c r="G257" s="354">
        <v>0</v>
      </c>
      <c r="H257" s="354">
        <v>0</v>
      </c>
      <c r="I257" s="354">
        <v>0</v>
      </c>
      <c r="J257" s="354">
        <v>0</v>
      </c>
      <c r="K257" s="354">
        <v>0</v>
      </c>
      <c r="L257" s="354">
        <v>0</v>
      </c>
      <c r="M257" s="354">
        <v>0</v>
      </c>
      <c r="N257" s="354">
        <v>0</v>
      </c>
      <c r="O257" s="354">
        <v>0</v>
      </c>
      <c r="P257" s="354">
        <v>0</v>
      </c>
      <c r="Q257" s="354">
        <v>0</v>
      </c>
      <c r="R257" s="354">
        <v>0</v>
      </c>
      <c r="S257" s="354">
        <v>0</v>
      </c>
      <c r="T257" s="354">
        <v>0</v>
      </c>
      <c r="U257" s="354">
        <v>0</v>
      </c>
      <c r="V257" s="354">
        <v>0</v>
      </c>
      <c r="W257" s="354">
        <v>0</v>
      </c>
      <c r="X257" s="354">
        <v>0</v>
      </c>
      <c r="Y257" s="354">
        <v>0</v>
      </c>
      <c r="Z257" s="354">
        <v>0</v>
      </c>
      <c r="AA257" s="354">
        <v>0</v>
      </c>
      <c r="AB257" s="354">
        <v>0</v>
      </c>
      <c r="AC257" s="354">
        <v>0</v>
      </c>
      <c r="AD257" s="354">
        <v>0</v>
      </c>
      <c r="AE257" s="354">
        <v>0</v>
      </c>
      <c r="AF257" s="354">
        <v>0</v>
      </c>
      <c r="AG257" s="354">
        <v>0</v>
      </c>
      <c r="AH257" s="354">
        <v>0</v>
      </c>
      <c r="AI257" s="354">
        <v>0</v>
      </c>
      <c r="AJ257" s="354">
        <v>0</v>
      </c>
      <c r="AK257" s="354">
        <v>0</v>
      </c>
      <c r="AL257" s="354">
        <v>0</v>
      </c>
      <c r="AM257" s="354">
        <v>0</v>
      </c>
      <c r="AN257" s="354">
        <v>0</v>
      </c>
      <c r="AO257" s="354">
        <v>0</v>
      </c>
      <c r="AP257" s="354">
        <v>0</v>
      </c>
      <c r="AQ257" s="354">
        <v>0</v>
      </c>
      <c r="AR257" s="354">
        <v>0</v>
      </c>
      <c r="AS257" s="354">
        <v>0</v>
      </c>
      <c r="AT257" s="354">
        <v>0</v>
      </c>
      <c r="AU257" s="354">
        <v>0</v>
      </c>
      <c r="AV257" s="354">
        <v>0</v>
      </c>
      <c r="AW257" s="354">
        <v>0</v>
      </c>
      <c r="AX257" s="354">
        <v>0</v>
      </c>
      <c r="AY257" s="354">
        <v>0</v>
      </c>
      <c r="AZ257" s="354">
        <v>0</v>
      </c>
      <c r="BA257" s="354">
        <v>0</v>
      </c>
      <c r="BB257" s="354">
        <v>0</v>
      </c>
      <c r="BC257" s="363">
        <v>0</v>
      </c>
      <c r="BD257" s="363">
        <v>0</v>
      </c>
      <c r="BE257" s="363">
        <v>0</v>
      </c>
      <c r="BF257" s="363">
        <v>0</v>
      </c>
      <c r="BG257" s="363">
        <v>0</v>
      </c>
      <c r="BH257" s="363">
        <v>0</v>
      </c>
      <c r="BI257" s="363">
        <v>0</v>
      </c>
      <c r="BJ257" s="363">
        <v>0</v>
      </c>
      <c r="BK257" s="363">
        <v>0</v>
      </c>
      <c r="BL257" s="363">
        <v>0</v>
      </c>
      <c r="BM257" s="363">
        <v>0</v>
      </c>
      <c r="BN257" s="363">
        <v>0</v>
      </c>
      <c r="BO257" s="363">
        <v>0</v>
      </c>
      <c r="BP257" s="363">
        <v>0</v>
      </c>
      <c r="BQ257" s="363">
        <v>0</v>
      </c>
      <c r="BR257" s="363">
        <v>0</v>
      </c>
      <c r="BS257" s="363">
        <v>0</v>
      </c>
      <c r="BT257" s="363">
        <v>0</v>
      </c>
      <c r="BU257" s="363">
        <v>0</v>
      </c>
      <c r="BV257" s="363">
        <v>0</v>
      </c>
      <c r="BW257" s="363">
        <v>0</v>
      </c>
      <c r="BX257" s="363">
        <v>0</v>
      </c>
      <c r="BY257" s="363">
        <v>0</v>
      </c>
      <c r="BZ257" s="363">
        <v>0</v>
      </c>
      <c r="CA257" s="363">
        <v>0</v>
      </c>
      <c r="CB257" s="363">
        <v>0</v>
      </c>
      <c r="CC257" s="363">
        <v>0</v>
      </c>
      <c r="CD257" s="363">
        <v>0</v>
      </c>
      <c r="CE257" s="363">
        <v>0</v>
      </c>
      <c r="CF257" s="363">
        <v>0</v>
      </c>
      <c r="CG257" s="363">
        <v>0</v>
      </c>
      <c r="CH257" s="363">
        <v>0</v>
      </c>
      <c r="CI257" s="363">
        <v>0</v>
      </c>
      <c r="CJ257" s="363">
        <v>0</v>
      </c>
      <c r="CK257" s="363">
        <v>0</v>
      </c>
      <c r="CL257" s="363">
        <v>0</v>
      </c>
      <c r="CM257" s="363">
        <v>0</v>
      </c>
      <c r="CN257" s="363">
        <v>0</v>
      </c>
      <c r="CO257" s="363">
        <v>0</v>
      </c>
      <c r="CP257" s="363">
        <v>0</v>
      </c>
      <c r="CQ257" s="363">
        <v>0</v>
      </c>
      <c r="CR257" s="363">
        <v>0</v>
      </c>
      <c r="CS257" s="363">
        <v>0</v>
      </c>
      <c r="CT257" s="363">
        <v>0</v>
      </c>
      <c r="CU257" s="363">
        <v>0</v>
      </c>
      <c r="CV257" s="363">
        <v>0</v>
      </c>
      <c r="CW257" s="363">
        <v>0</v>
      </c>
      <c r="CX257" s="363">
        <v>0</v>
      </c>
      <c r="CY257" s="363">
        <v>0</v>
      </c>
      <c r="CZ257" s="363">
        <v>0</v>
      </c>
      <c r="DA257" s="363">
        <v>0</v>
      </c>
      <c r="DB257" s="363">
        <v>0</v>
      </c>
      <c r="DC257" s="363">
        <v>0</v>
      </c>
      <c r="DD257" s="363">
        <v>0</v>
      </c>
      <c r="DE257" s="363">
        <v>0</v>
      </c>
      <c r="DF257" s="363">
        <v>0</v>
      </c>
      <c r="DG257" s="363">
        <v>0</v>
      </c>
      <c r="DH257" s="363">
        <v>0</v>
      </c>
      <c r="DI257" s="363">
        <v>0</v>
      </c>
      <c r="DJ257" s="363">
        <v>0</v>
      </c>
      <c r="DK257" s="363">
        <v>0</v>
      </c>
      <c r="DL257" s="363">
        <v>0</v>
      </c>
      <c r="DM257" s="363">
        <v>0</v>
      </c>
      <c r="DN257" s="363">
        <v>0</v>
      </c>
      <c r="DO257" s="363">
        <v>0</v>
      </c>
      <c r="DP257" s="363">
        <v>0</v>
      </c>
      <c r="DQ257" s="363">
        <v>0</v>
      </c>
      <c r="DR257" s="354">
        <v>0</v>
      </c>
      <c r="DS257" s="354">
        <v>0</v>
      </c>
      <c r="DT257" s="354">
        <v>0</v>
      </c>
      <c r="DU257" s="354">
        <v>0</v>
      </c>
      <c r="DV257" s="354">
        <v>0</v>
      </c>
      <c r="DW257" s="543">
        <f t="shared" si="36"/>
        <v>0</v>
      </c>
      <c r="DX257" s="858">
        <f>DW257+DW258+DW259</f>
        <v>0</v>
      </c>
      <c r="DY257" s="704">
        <f>+DX257*1000000</f>
        <v>0</v>
      </c>
      <c r="DZ257" s="870">
        <f>+DY257-D257</f>
        <v>0</v>
      </c>
      <c r="EA257" s="873" t="str">
        <f>VLOOKUP(POA!$B257,'Detalle Plan de Adquisiciones'!$G$6:$AF$66,23,0)</f>
        <v>N/A</v>
      </c>
      <c r="EB257" s="859" t="str">
        <f>VLOOKUP(POA!$B257,'Detalle Plan de Adquisiciones'!$G$6:$AF$66,25,0)</f>
        <v>N/A</v>
      </c>
      <c r="EC257" s="859" t="e">
        <f>EB257+30</f>
        <v>#VALUE!</v>
      </c>
      <c r="ED257" s="859" t="e">
        <f>CONCATENATE(MONTH(EA257),"-",YEAR(EA257))</f>
        <v>#VALUE!</v>
      </c>
      <c r="EE257" s="859" t="e">
        <f>CONCATENATE(MONTH(EB257),"-",YEAR(EB257))</f>
        <v>#VALUE!</v>
      </c>
      <c r="EF257" s="861" t="e">
        <f>CONCATENATE(MONTH(EC257),"-",YEAR(EC257))</f>
        <v>#VALUE!</v>
      </c>
      <c r="EG257" s="1105" t="e">
        <f>+YEAR(EA257)</f>
        <v>#VALUE!</v>
      </c>
      <c r="EI257" s="858">
        <f>+DW257+DW258+DW259</f>
        <v>0</v>
      </c>
      <c r="EJ257" s="877">
        <f>+D257/1000000-EI257</f>
        <v>0</v>
      </c>
      <c r="ER257" s="497"/>
    </row>
    <row r="258" spans="1:148" s="278" customFormat="1" outlineLevel="2" x14ac:dyDescent="0.2">
      <c r="A258" s="929"/>
      <c r="B258" s="886"/>
      <c r="C258" s="903"/>
      <c r="D258" s="864"/>
      <c r="E258" s="867"/>
      <c r="F258" s="311" t="s">
        <v>210</v>
      </c>
      <c r="G258" s="363">
        <v>0</v>
      </c>
      <c r="H258" s="363">
        <v>0</v>
      </c>
      <c r="I258" s="363">
        <v>0</v>
      </c>
      <c r="J258" s="363">
        <v>0</v>
      </c>
      <c r="K258" s="363">
        <v>0</v>
      </c>
      <c r="L258" s="363">
        <v>0</v>
      </c>
      <c r="M258" s="363">
        <v>0</v>
      </c>
      <c r="N258" s="363">
        <v>0</v>
      </c>
      <c r="O258" s="363">
        <v>0</v>
      </c>
      <c r="P258" s="363">
        <v>0</v>
      </c>
      <c r="Q258" s="363">
        <v>0</v>
      </c>
      <c r="R258" s="363">
        <v>0</v>
      </c>
      <c r="S258" s="363">
        <v>0</v>
      </c>
      <c r="T258" s="363">
        <v>0</v>
      </c>
      <c r="U258" s="363">
        <v>0</v>
      </c>
      <c r="V258" s="363">
        <v>0</v>
      </c>
      <c r="W258" s="363">
        <v>0</v>
      </c>
      <c r="X258" s="363">
        <v>0</v>
      </c>
      <c r="Y258" s="363">
        <v>0</v>
      </c>
      <c r="Z258" s="363">
        <v>0</v>
      </c>
      <c r="AA258" s="363">
        <v>0</v>
      </c>
      <c r="AB258" s="363">
        <v>0</v>
      </c>
      <c r="AC258" s="363">
        <v>0</v>
      </c>
      <c r="AD258" s="363">
        <v>0</v>
      </c>
      <c r="AE258" s="363">
        <v>0</v>
      </c>
      <c r="AF258" s="363">
        <v>0</v>
      </c>
      <c r="AG258" s="363">
        <v>0</v>
      </c>
      <c r="AH258" s="363">
        <v>0</v>
      </c>
      <c r="AI258" s="363">
        <v>0</v>
      </c>
      <c r="AJ258" s="363">
        <v>0</v>
      </c>
      <c r="AK258" s="363">
        <v>0</v>
      </c>
      <c r="AL258" s="363">
        <v>0</v>
      </c>
      <c r="AM258" s="363">
        <v>0</v>
      </c>
      <c r="AN258" s="363">
        <v>0</v>
      </c>
      <c r="AO258" s="363">
        <v>0</v>
      </c>
      <c r="AP258" s="363">
        <v>0</v>
      </c>
      <c r="AQ258" s="363">
        <v>0</v>
      </c>
      <c r="AR258" s="363">
        <v>0</v>
      </c>
      <c r="AS258" s="363">
        <v>0</v>
      </c>
      <c r="AT258" s="363">
        <v>0</v>
      </c>
      <c r="AU258" s="363">
        <v>0</v>
      </c>
      <c r="AV258" s="363">
        <v>0</v>
      </c>
      <c r="AW258" s="363">
        <v>0</v>
      </c>
      <c r="AX258" s="363">
        <v>0</v>
      </c>
      <c r="AY258" s="363">
        <v>0</v>
      </c>
      <c r="AZ258" s="363">
        <v>0</v>
      </c>
      <c r="BA258" s="363">
        <v>0</v>
      </c>
      <c r="BB258" s="363">
        <v>0</v>
      </c>
      <c r="BC258" s="363">
        <v>0</v>
      </c>
      <c r="BD258" s="363">
        <v>0</v>
      </c>
      <c r="BE258" s="363">
        <v>0</v>
      </c>
      <c r="BF258" s="363">
        <v>0</v>
      </c>
      <c r="BG258" s="363">
        <v>0</v>
      </c>
      <c r="BH258" s="363">
        <v>0</v>
      </c>
      <c r="BI258" s="363">
        <v>0</v>
      </c>
      <c r="BJ258" s="363">
        <v>0</v>
      </c>
      <c r="BK258" s="363">
        <v>0</v>
      </c>
      <c r="BL258" s="363">
        <v>0</v>
      </c>
      <c r="BM258" s="363">
        <v>0</v>
      </c>
      <c r="BN258" s="363">
        <v>0</v>
      </c>
      <c r="BO258" s="363">
        <v>0</v>
      </c>
      <c r="BP258" s="363">
        <v>0</v>
      </c>
      <c r="BQ258" s="363">
        <v>0</v>
      </c>
      <c r="BR258" s="363">
        <v>0</v>
      </c>
      <c r="BS258" s="363">
        <v>0</v>
      </c>
      <c r="BT258" s="363">
        <v>0</v>
      </c>
      <c r="BU258" s="363">
        <v>0</v>
      </c>
      <c r="BV258" s="363">
        <v>0</v>
      </c>
      <c r="BW258" s="363">
        <v>0</v>
      </c>
      <c r="BX258" s="363">
        <v>0</v>
      </c>
      <c r="BY258" s="363">
        <v>0</v>
      </c>
      <c r="BZ258" s="363">
        <v>0</v>
      </c>
      <c r="CA258" s="363">
        <v>0</v>
      </c>
      <c r="CB258" s="363">
        <v>0</v>
      </c>
      <c r="CC258" s="363">
        <v>0</v>
      </c>
      <c r="CD258" s="363">
        <v>0</v>
      </c>
      <c r="CE258" s="363">
        <v>0</v>
      </c>
      <c r="CF258" s="363">
        <v>0</v>
      </c>
      <c r="CG258" s="363">
        <v>0</v>
      </c>
      <c r="CH258" s="363">
        <v>0</v>
      </c>
      <c r="CI258" s="363">
        <v>0</v>
      </c>
      <c r="CJ258" s="363">
        <v>0</v>
      </c>
      <c r="CK258" s="363">
        <v>0</v>
      </c>
      <c r="CL258" s="363">
        <v>0</v>
      </c>
      <c r="CM258" s="363">
        <v>0</v>
      </c>
      <c r="CN258" s="363">
        <v>0</v>
      </c>
      <c r="CO258" s="363">
        <v>0</v>
      </c>
      <c r="CP258" s="363">
        <v>0</v>
      </c>
      <c r="CQ258" s="363">
        <v>0</v>
      </c>
      <c r="CR258" s="363">
        <v>0</v>
      </c>
      <c r="CS258" s="363">
        <v>0</v>
      </c>
      <c r="CT258" s="363">
        <v>0</v>
      </c>
      <c r="CU258" s="363">
        <v>0</v>
      </c>
      <c r="CV258" s="363">
        <v>0</v>
      </c>
      <c r="CW258" s="363">
        <v>0</v>
      </c>
      <c r="CX258" s="363">
        <v>0</v>
      </c>
      <c r="CY258" s="363">
        <v>0</v>
      </c>
      <c r="CZ258" s="363">
        <v>0</v>
      </c>
      <c r="DA258" s="363">
        <v>0</v>
      </c>
      <c r="DB258" s="363">
        <v>0</v>
      </c>
      <c r="DC258" s="363">
        <v>0</v>
      </c>
      <c r="DD258" s="363">
        <v>0</v>
      </c>
      <c r="DE258" s="363">
        <v>0</v>
      </c>
      <c r="DF258" s="363">
        <v>0</v>
      </c>
      <c r="DG258" s="363">
        <v>0</v>
      </c>
      <c r="DH258" s="363">
        <v>0</v>
      </c>
      <c r="DI258" s="363">
        <v>0</v>
      </c>
      <c r="DJ258" s="363">
        <v>0</v>
      </c>
      <c r="DK258" s="363">
        <v>0</v>
      </c>
      <c r="DL258" s="363">
        <v>0</v>
      </c>
      <c r="DM258" s="363">
        <v>0</v>
      </c>
      <c r="DN258" s="363">
        <v>0</v>
      </c>
      <c r="DO258" s="363">
        <v>0</v>
      </c>
      <c r="DP258" s="363">
        <v>0</v>
      </c>
      <c r="DQ258" s="363">
        <v>0</v>
      </c>
      <c r="DR258" s="363">
        <v>0</v>
      </c>
      <c r="DS258" s="363">
        <v>0</v>
      </c>
      <c r="DT258" s="363">
        <v>0</v>
      </c>
      <c r="DU258" s="363">
        <v>0</v>
      </c>
      <c r="DV258" s="363">
        <v>0</v>
      </c>
      <c r="DW258" s="544">
        <f t="shared" si="36"/>
        <v>0</v>
      </c>
      <c r="DX258" s="858"/>
      <c r="DY258" s="705"/>
      <c r="DZ258" s="871"/>
      <c r="EA258" s="873"/>
      <c r="EB258" s="859"/>
      <c r="EC258" s="859"/>
      <c r="ED258" s="859"/>
      <c r="EE258" s="859"/>
      <c r="EF258" s="861"/>
      <c r="EG258" s="1106"/>
      <c r="EI258" s="858"/>
      <c r="EJ258" s="877"/>
      <c r="ER258" s="497"/>
    </row>
    <row r="259" spans="1:148" s="278" customFormat="1" ht="12.75" outlineLevel="2" thickBot="1" x14ac:dyDescent="0.25">
      <c r="A259" s="930"/>
      <c r="B259" s="887"/>
      <c r="C259" s="904"/>
      <c r="D259" s="865"/>
      <c r="E259" s="875"/>
      <c r="F259" s="315" t="s">
        <v>211</v>
      </c>
      <c r="G259" s="364">
        <v>0</v>
      </c>
      <c r="H259" s="364">
        <v>0</v>
      </c>
      <c r="I259" s="364">
        <v>0</v>
      </c>
      <c r="J259" s="364">
        <v>0</v>
      </c>
      <c r="K259" s="364">
        <v>0</v>
      </c>
      <c r="L259" s="364">
        <v>0</v>
      </c>
      <c r="M259" s="364">
        <v>0</v>
      </c>
      <c r="N259" s="364">
        <v>0</v>
      </c>
      <c r="O259" s="364">
        <v>0</v>
      </c>
      <c r="P259" s="364">
        <v>0</v>
      </c>
      <c r="Q259" s="364">
        <v>0</v>
      </c>
      <c r="R259" s="364">
        <v>0</v>
      </c>
      <c r="S259" s="364">
        <v>0</v>
      </c>
      <c r="T259" s="364">
        <v>0</v>
      </c>
      <c r="U259" s="364">
        <v>0</v>
      </c>
      <c r="V259" s="364">
        <v>0</v>
      </c>
      <c r="W259" s="364">
        <v>0</v>
      </c>
      <c r="X259" s="364">
        <v>0</v>
      </c>
      <c r="Y259" s="364">
        <v>0</v>
      </c>
      <c r="Z259" s="364">
        <v>0</v>
      </c>
      <c r="AA259" s="364">
        <v>0</v>
      </c>
      <c r="AB259" s="364">
        <v>0</v>
      </c>
      <c r="AC259" s="364">
        <v>0</v>
      </c>
      <c r="AD259" s="364">
        <v>0</v>
      </c>
      <c r="AE259" s="364">
        <v>0</v>
      </c>
      <c r="AF259" s="364">
        <v>0</v>
      </c>
      <c r="AG259" s="364">
        <v>0</v>
      </c>
      <c r="AH259" s="364">
        <v>0</v>
      </c>
      <c r="AI259" s="364">
        <v>0</v>
      </c>
      <c r="AJ259" s="364">
        <v>0</v>
      </c>
      <c r="AK259" s="364">
        <v>0</v>
      </c>
      <c r="AL259" s="364">
        <v>0</v>
      </c>
      <c r="AM259" s="364">
        <v>0</v>
      </c>
      <c r="AN259" s="364">
        <v>0</v>
      </c>
      <c r="AO259" s="364">
        <v>0</v>
      </c>
      <c r="AP259" s="364">
        <v>0</v>
      </c>
      <c r="AQ259" s="364">
        <v>0</v>
      </c>
      <c r="AR259" s="364">
        <v>0</v>
      </c>
      <c r="AS259" s="364">
        <v>0</v>
      </c>
      <c r="AT259" s="364">
        <v>0</v>
      </c>
      <c r="AU259" s="364">
        <v>0</v>
      </c>
      <c r="AV259" s="364">
        <v>0</v>
      </c>
      <c r="AW259" s="364">
        <v>0</v>
      </c>
      <c r="AX259" s="364">
        <v>0</v>
      </c>
      <c r="AY259" s="364">
        <v>0</v>
      </c>
      <c r="AZ259" s="364">
        <v>0</v>
      </c>
      <c r="BA259" s="364">
        <v>0</v>
      </c>
      <c r="BB259" s="364">
        <v>0</v>
      </c>
      <c r="BC259" s="363">
        <v>0</v>
      </c>
      <c r="BD259" s="363">
        <v>0</v>
      </c>
      <c r="BE259" s="363">
        <v>0</v>
      </c>
      <c r="BF259" s="363">
        <v>0</v>
      </c>
      <c r="BG259" s="363">
        <v>0</v>
      </c>
      <c r="BH259" s="363">
        <v>0</v>
      </c>
      <c r="BI259" s="363">
        <v>0</v>
      </c>
      <c r="BJ259" s="363">
        <v>0</v>
      </c>
      <c r="BK259" s="363">
        <v>0</v>
      </c>
      <c r="BL259" s="363">
        <v>0</v>
      </c>
      <c r="BM259" s="363">
        <v>0</v>
      </c>
      <c r="BN259" s="363">
        <v>0</v>
      </c>
      <c r="BO259" s="363">
        <v>0</v>
      </c>
      <c r="BP259" s="363">
        <v>0</v>
      </c>
      <c r="BQ259" s="363">
        <v>0</v>
      </c>
      <c r="BR259" s="363">
        <v>0</v>
      </c>
      <c r="BS259" s="363">
        <v>0</v>
      </c>
      <c r="BT259" s="363">
        <v>0</v>
      </c>
      <c r="BU259" s="363">
        <v>0</v>
      </c>
      <c r="BV259" s="363">
        <v>0</v>
      </c>
      <c r="BW259" s="363">
        <v>0</v>
      </c>
      <c r="BX259" s="363">
        <v>0</v>
      </c>
      <c r="BY259" s="363">
        <v>0</v>
      </c>
      <c r="BZ259" s="363">
        <v>0</v>
      </c>
      <c r="CA259" s="363">
        <v>0</v>
      </c>
      <c r="CB259" s="363">
        <v>0</v>
      </c>
      <c r="CC259" s="363">
        <v>0</v>
      </c>
      <c r="CD259" s="363">
        <v>0</v>
      </c>
      <c r="CE259" s="363">
        <v>0</v>
      </c>
      <c r="CF259" s="363">
        <v>0</v>
      </c>
      <c r="CG259" s="363">
        <v>0</v>
      </c>
      <c r="CH259" s="363">
        <v>0</v>
      </c>
      <c r="CI259" s="363">
        <v>0</v>
      </c>
      <c r="CJ259" s="363">
        <v>0</v>
      </c>
      <c r="CK259" s="363">
        <v>0</v>
      </c>
      <c r="CL259" s="363">
        <v>0</v>
      </c>
      <c r="CM259" s="363">
        <v>0</v>
      </c>
      <c r="CN259" s="363">
        <v>0</v>
      </c>
      <c r="CO259" s="363">
        <v>0</v>
      </c>
      <c r="CP259" s="363">
        <v>0</v>
      </c>
      <c r="CQ259" s="363">
        <v>0</v>
      </c>
      <c r="CR259" s="363">
        <v>0</v>
      </c>
      <c r="CS259" s="363">
        <v>0</v>
      </c>
      <c r="CT259" s="363">
        <v>0</v>
      </c>
      <c r="CU259" s="363">
        <v>0</v>
      </c>
      <c r="CV259" s="363">
        <v>0</v>
      </c>
      <c r="CW259" s="363">
        <v>0</v>
      </c>
      <c r="CX259" s="363">
        <v>0</v>
      </c>
      <c r="CY259" s="363">
        <v>0</v>
      </c>
      <c r="CZ259" s="363">
        <v>0</v>
      </c>
      <c r="DA259" s="363">
        <v>0</v>
      </c>
      <c r="DB259" s="363">
        <v>0</v>
      </c>
      <c r="DC259" s="363">
        <v>0</v>
      </c>
      <c r="DD259" s="363">
        <v>0</v>
      </c>
      <c r="DE259" s="363">
        <v>0</v>
      </c>
      <c r="DF259" s="363">
        <v>0</v>
      </c>
      <c r="DG259" s="363">
        <v>0</v>
      </c>
      <c r="DH259" s="363">
        <v>0</v>
      </c>
      <c r="DI259" s="363">
        <v>0</v>
      </c>
      <c r="DJ259" s="363">
        <v>0</v>
      </c>
      <c r="DK259" s="363">
        <v>0</v>
      </c>
      <c r="DL259" s="363">
        <v>0</v>
      </c>
      <c r="DM259" s="363">
        <v>0</v>
      </c>
      <c r="DN259" s="363">
        <v>0</v>
      </c>
      <c r="DO259" s="363">
        <v>0</v>
      </c>
      <c r="DP259" s="363">
        <v>0</v>
      </c>
      <c r="DQ259" s="363">
        <v>0</v>
      </c>
      <c r="DR259" s="364">
        <v>0</v>
      </c>
      <c r="DS259" s="364">
        <v>0</v>
      </c>
      <c r="DT259" s="364">
        <v>0</v>
      </c>
      <c r="DU259" s="364">
        <v>0</v>
      </c>
      <c r="DV259" s="364">
        <v>0</v>
      </c>
      <c r="DW259" s="545">
        <f t="shared" si="36"/>
        <v>0</v>
      </c>
      <c r="DX259" s="858"/>
      <c r="DY259" s="706"/>
      <c r="DZ259" s="872"/>
      <c r="EA259" s="873"/>
      <c r="EB259" s="859"/>
      <c r="EC259" s="859"/>
      <c r="ED259" s="859"/>
      <c r="EE259" s="859"/>
      <c r="EF259" s="861"/>
      <c r="EG259" s="1107"/>
      <c r="EI259" s="858"/>
      <c r="EJ259" s="877"/>
      <c r="ER259" s="497"/>
    </row>
    <row r="260" spans="1:148" s="278" customFormat="1" ht="24" outlineLevel="2" x14ac:dyDescent="0.2">
      <c r="A260" s="928"/>
      <c r="B260" s="897" t="s">
        <v>173</v>
      </c>
      <c r="C260" s="902">
        <v>3</v>
      </c>
      <c r="D260" s="863">
        <f>+IFERROR(VLOOKUP(B260,'Detalle Plan de Adquisiciones'!$G$6:$M$66,7,FALSE),0)</f>
        <v>0</v>
      </c>
      <c r="E260" s="866" t="str">
        <f>+'Detalle Plan de Adquisiciones'!F56</f>
        <v>PTN EN LA DIAGONAL 2E ENTRE TRANSVERSAL 9 Y EL CEMENTERIO DEL P5.</v>
      </c>
      <c r="F260" s="312" t="s">
        <v>410</v>
      </c>
      <c r="G260" s="354">
        <v>0</v>
      </c>
      <c r="H260" s="354">
        <v>0</v>
      </c>
      <c r="I260" s="354">
        <v>0</v>
      </c>
      <c r="J260" s="354">
        <v>0</v>
      </c>
      <c r="K260" s="354">
        <v>0</v>
      </c>
      <c r="L260" s="354">
        <v>0</v>
      </c>
      <c r="M260" s="354">
        <v>0</v>
      </c>
      <c r="N260" s="354">
        <v>0</v>
      </c>
      <c r="O260" s="354">
        <v>0</v>
      </c>
      <c r="P260" s="354">
        <v>0</v>
      </c>
      <c r="Q260" s="354">
        <v>0</v>
      </c>
      <c r="R260" s="354">
        <v>0</v>
      </c>
      <c r="S260" s="354">
        <v>0</v>
      </c>
      <c r="T260" s="354">
        <v>0</v>
      </c>
      <c r="U260" s="354">
        <v>0</v>
      </c>
      <c r="V260" s="354">
        <v>0</v>
      </c>
      <c r="W260" s="354">
        <v>0</v>
      </c>
      <c r="X260" s="354">
        <v>0</v>
      </c>
      <c r="Y260" s="354">
        <v>0</v>
      </c>
      <c r="Z260" s="354">
        <v>0</v>
      </c>
      <c r="AA260" s="354">
        <v>0</v>
      </c>
      <c r="AB260" s="354">
        <v>0</v>
      </c>
      <c r="AC260" s="354">
        <v>0</v>
      </c>
      <c r="AD260" s="354">
        <v>0</v>
      </c>
      <c r="AE260" s="354">
        <v>0</v>
      </c>
      <c r="AF260" s="354">
        <v>0</v>
      </c>
      <c r="AG260" s="354">
        <v>0</v>
      </c>
      <c r="AH260" s="354">
        <v>0</v>
      </c>
      <c r="AI260" s="354">
        <v>0</v>
      </c>
      <c r="AJ260" s="354">
        <v>0</v>
      </c>
      <c r="AK260" s="354">
        <v>0</v>
      </c>
      <c r="AL260" s="354">
        <v>0</v>
      </c>
      <c r="AM260" s="354">
        <v>0</v>
      </c>
      <c r="AN260" s="354">
        <v>0</v>
      </c>
      <c r="AO260" s="354">
        <v>0</v>
      </c>
      <c r="AP260" s="354">
        <v>0</v>
      </c>
      <c r="AQ260" s="354">
        <v>0</v>
      </c>
      <c r="AR260" s="354">
        <v>0</v>
      </c>
      <c r="AS260" s="354">
        <v>0</v>
      </c>
      <c r="AT260" s="354">
        <v>0</v>
      </c>
      <c r="AU260" s="354">
        <v>0</v>
      </c>
      <c r="AV260" s="354">
        <v>0</v>
      </c>
      <c r="AW260" s="354">
        <v>0</v>
      </c>
      <c r="AX260" s="354">
        <v>0</v>
      </c>
      <c r="AY260" s="354">
        <v>0</v>
      </c>
      <c r="AZ260" s="354">
        <v>0</v>
      </c>
      <c r="BA260" s="354">
        <v>0</v>
      </c>
      <c r="BB260" s="354">
        <v>0</v>
      </c>
      <c r="BC260" s="363">
        <v>0</v>
      </c>
      <c r="BD260" s="363">
        <v>0</v>
      </c>
      <c r="BE260" s="363">
        <v>0</v>
      </c>
      <c r="BF260" s="363">
        <v>0</v>
      </c>
      <c r="BG260" s="363">
        <v>0</v>
      </c>
      <c r="BH260" s="363">
        <v>0</v>
      </c>
      <c r="BI260" s="363">
        <v>0</v>
      </c>
      <c r="BJ260" s="363">
        <v>0</v>
      </c>
      <c r="BK260" s="363">
        <v>0</v>
      </c>
      <c r="BL260" s="363">
        <v>0</v>
      </c>
      <c r="BM260" s="363">
        <v>0</v>
      </c>
      <c r="BN260" s="363">
        <v>0</v>
      </c>
      <c r="BO260" s="363">
        <v>0</v>
      </c>
      <c r="BP260" s="363">
        <v>0</v>
      </c>
      <c r="BQ260" s="363">
        <v>0</v>
      </c>
      <c r="BR260" s="363">
        <v>0</v>
      </c>
      <c r="BS260" s="363">
        <v>0</v>
      </c>
      <c r="BT260" s="363">
        <v>0</v>
      </c>
      <c r="BU260" s="363">
        <v>0</v>
      </c>
      <c r="BV260" s="363">
        <v>0</v>
      </c>
      <c r="BW260" s="363">
        <v>0</v>
      </c>
      <c r="BX260" s="363">
        <v>0</v>
      </c>
      <c r="BY260" s="363">
        <v>0</v>
      </c>
      <c r="BZ260" s="363">
        <v>0</v>
      </c>
      <c r="CA260" s="363">
        <v>0</v>
      </c>
      <c r="CB260" s="363">
        <v>0</v>
      </c>
      <c r="CC260" s="363">
        <v>0</v>
      </c>
      <c r="CD260" s="363">
        <v>0</v>
      </c>
      <c r="CE260" s="363">
        <v>0</v>
      </c>
      <c r="CF260" s="363">
        <v>0</v>
      </c>
      <c r="CG260" s="363">
        <v>0</v>
      </c>
      <c r="CH260" s="363">
        <v>0</v>
      </c>
      <c r="CI260" s="363">
        <v>0</v>
      </c>
      <c r="CJ260" s="363">
        <v>0</v>
      </c>
      <c r="CK260" s="363">
        <v>0</v>
      </c>
      <c r="CL260" s="363">
        <v>0</v>
      </c>
      <c r="CM260" s="363">
        <v>0</v>
      </c>
      <c r="CN260" s="363">
        <v>0</v>
      </c>
      <c r="CO260" s="363">
        <v>0</v>
      </c>
      <c r="CP260" s="363">
        <v>0</v>
      </c>
      <c r="CQ260" s="363">
        <v>0</v>
      </c>
      <c r="CR260" s="363">
        <v>0</v>
      </c>
      <c r="CS260" s="363">
        <v>0</v>
      </c>
      <c r="CT260" s="363">
        <v>0</v>
      </c>
      <c r="CU260" s="363">
        <v>0</v>
      </c>
      <c r="CV260" s="363">
        <v>0</v>
      </c>
      <c r="CW260" s="363">
        <v>0</v>
      </c>
      <c r="CX260" s="363">
        <v>0</v>
      </c>
      <c r="CY260" s="363">
        <v>0</v>
      </c>
      <c r="CZ260" s="363">
        <v>0</v>
      </c>
      <c r="DA260" s="363">
        <v>0</v>
      </c>
      <c r="DB260" s="363">
        <v>0</v>
      </c>
      <c r="DC260" s="363">
        <v>0</v>
      </c>
      <c r="DD260" s="363">
        <v>0</v>
      </c>
      <c r="DE260" s="363">
        <v>0</v>
      </c>
      <c r="DF260" s="363">
        <v>0</v>
      </c>
      <c r="DG260" s="363">
        <v>0</v>
      </c>
      <c r="DH260" s="363">
        <v>0</v>
      </c>
      <c r="DI260" s="363">
        <v>0</v>
      </c>
      <c r="DJ260" s="363">
        <v>0</v>
      </c>
      <c r="DK260" s="363">
        <v>0</v>
      </c>
      <c r="DL260" s="363">
        <v>0</v>
      </c>
      <c r="DM260" s="363">
        <v>0</v>
      </c>
      <c r="DN260" s="363">
        <v>0</v>
      </c>
      <c r="DO260" s="363">
        <v>0</v>
      </c>
      <c r="DP260" s="363">
        <v>0</v>
      </c>
      <c r="DQ260" s="363">
        <v>0</v>
      </c>
      <c r="DR260" s="354">
        <v>0</v>
      </c>
      <c r="DS260" s="354">
        <v>0</v>
      </c>
      <c r="DT260" s="354">
        <v>0</v>
      </c>
      <c r="DU260" s="354">
        <v>0</v>
      </c>
      <c r="DV260" s="354">
        <v>0</v>
      </c>
      <c r="DW260" s="543">
        <f t="shared" si="36"/>
        <v>0</v>
      </c>
      <c r="DX260" s="858">
        <f>DW260+DW261+DW262</f>
        <v>0</v>
      </c>
      <c r="DY260" s="704">
        <f>+DX260*1000000</f>
        <v>0</v>
      </c>
      <c r="DZ260" s="870">
        <f>+DY260-D260</f>
        <v>0</v>
      </c>
      <c r="EA260" s="873" t="str">
        <f>VLOOKUP(POA!$B260,'Detalle Plan de Adquisiciones'!$G$6:$AF$66,23,0)</f>
        <v>N/A</v>
      </c>
      <c r="EB260" s="859" t="str">
        <f>VLOOKUP(POA!$B260,'Detalle Plan de Adquisiciones'!$G$6:$AF$66,25,0)</f>
        <v>N/A</v>
      </c>
      <c r="EC260" s="859" t="e">
        <f>EB260+30</f>
        <v>#VALUE!</v>
      </c>
      <c r="ED260" s="859" t="e">
        <f>CONCATENATE(MONTH(EA260),"-",YEAR(EA260))</f>
        <v>#VALUE!</v>
      </c>
      <c r="EE260" s="859" t="e">
        <f>CONCATENATE(MONTH(EB260),"-",YEAR(EB260))</f>
        <v>#VALUE!</v>
      </c>
      <c r="EF260" s="861" t="e">
        <f>CONCATENATE(MONTH(EC260),"-",YEAR(EC260))</f>
        <v>#VALUE!</v>
      </c>
      <c r="EG260" s="1105" t="e">
        <f>+YEAR(EA260)</f>
        <v>#VALUE!</v>
      </c>
      <c r="EI260" s="858">
        <f>+DW260+DW261+DW262</f>
        <v>0</v>
      </c>
      <c r="EJ260" s="877">
        <f>+D260/1000000-EI260</f>
        <v>0</v>
      </c>
      <c r="ER260" s="497"/>
    </row>
    <row r="261" spans="1:148" s="278" customFormat="1" outlineLevel="2" x14ac:dyDescent="0.2">
      <c r="A261" s="929"/>
      <c r="B261" s="886"/>
      <c r="C261" s="903"/>
      <c r="D261" s="864"/>
      <c r="E261" s="867"/>
      <c r="F261" s="311" t="s">
        <v>210</v>
      </c>
      <c r="G261" s="363">
        <v>0</v>
      </c>
      <c r="H261" s="363">
        <v>0</v>
      </c>
      <c r="I261" s="363">
        <v>0</v>
      </c>
      <c r="J261" s="363">
        <v>0</v>
      </c>
      <c r="K261" s="363">
        <v>0</v>
      </c>
      <c r="L261" s="363">
        <v>0</v>
      </c>
      <c r="M261" s="363">
        <v>0</v>
      </c>
      <c r="N261" s="363">
        <v>0</v>
      </c>
      <c r="O261" s="363">
        <v>0</v>
      </c>
      <c r="P261" s="363">
        <v>0</v>
      </c>
      <c r="Q261" s="363">
        <v>0</v>
      </c>
      <c r="R261" s="363">
        <v>0</v>
      </c>
      <c r="S261" s="363">
        <v>0</v>
      </c>
      <c r="T261" s="363">
        <v>0</v>
      </c>
      <c r="U261" s="363">
        <v>0</v>
      </c>
      <c r="V261" s="363">
        <v>0</v>
      </c>
      <c r="W261" s="363">
        <v>0</v>
      </c>
      <c r="X261" s="363">
        <v>0</v>
      </c>
      <c r="Y261" s="363">
        <v>0</v>
      </c>
      <c r="Z261" s="363">
        <v>0</v>
      </c>
      <c r="AA261" s="363">
        <v>0</v>
      </c>
      <c r="AB261" s="363">
        <v>0</v>
      </c>
      <c r="AC261" s="363">
        <v>0</v>
      </c>
      <c r="AD261" s="363">
        <v>0</v>
      </c>
      <c r="AE261" s="363">
        <v>0</v>
      </c>
      <c r="AF261" s="363">
        <v>0</v>
      </c>
      <c r="AG261" s="363">
        <v>0</v>
      </c>
      <c r="AH261" s="363">
        <v>0</v>
      </c>
      <c r="AI261" s="363">
        <v>0</v>
      </c>
      <c r="AJ261" s="363">
        <v>0</v>
      </c>
      <c r="AK261" s="363">
        <v>0</v>
      </c>
      <c r="AL261" s="363">
        <v>0</v>
      </c>
      <c r="AM261" s="363">
        <v>0</v>
      </c>
      <c r="AN261" s="363">
        <v>0</v>
      </c>
      <c r="AO261" s="363">
        <v>0</v>
      </c>
      <c r="AP261" s="363">
        <v>0</v>
      </c>
      <c r="AQ261" s="363">
        <v>0</v>
      </c>
      <c r="AR261" s="363">
        <v>0</v>
      </c>
      <c r="AS261" s="363">
        <v>0</v>
      </c>
      <c r="AT261" s="363">
        <v>0</v>
      </c>
      <c r="AU261" s="363">
        <v>0</v>
      </c>
      <c r="AV261" s="363">
        <v>0</v>
      </c>
      <c r="AW261" s="363">
        <v>0</v>
      </c>
      <c r="AX261" s="363">
        <v>0</v>
      </c>
      <c r="AY261" s="363">
        <v>0</v>
      </c>
      <c r="AZ261" s="363">
        <v>0</v>
      </c>
      <c r="BA261" s="363">
        <v>0</v>
      </c>
      <c r="BB261" s="363">
        <v>0</v>
      </c>
      <c r="BC261" s="363">
        <v>0</v>
      </c>
      <c r="BD261" s="363">
        <v>0</v>
      </c>
      <c r="BE261" s="363">
        <v>0</v>
      </c>
      <c r="BF261" s="363">
        <v>0</v>
      </c>
      <c r="BG261" s="363">
        <v>0</v>
      </c>
      <c r="BH261" s="363">
        <v>0</v>
      </c>
      <c r="BI261" s="363">
        <v>0</v>
      </c>
      <c r="BJ261" s="363">
        <v>0</v>
      </c>
      <c r="BK261" s="363">
        <v>0</v>
      </c>
      <c r="BL261" s="363">
        <v>0</v>
      </c>
      <c r="BM261" s="363">
        <v>0</v>
      </c>
      <c r="BN261" s="363">
        <v>0</v>
      </c>
      <c r="BO261" s="363">
        <v>0</v>
      </c>
      <c r="BP261" s="363">
        <v>0</v>
      </c>
      <c r="BQ261" s="363">
        <v>0</v>
      </c>
      <c r="BR261" s="363">
        <v>0</v>
      </c>
      <c r="BS261" s="363">
        <v>0</v>
      </c>
      <c r="BT261" s="363">
        <v>0</v>
      </c>
      <c r="BU261" s="363">
        <v>0</v>
      </c>
      <c r="BV261" s="363">
        <v>0</v>
      </c>
      <c r="BW261" s="363">
        <v>0</v>
      </c>
      <c r="BX261" s="363">
        <v>0</v>
      </c>
      <c r="BY261" s="363">
        <v>0</v>
      </c>
      <c r="BZ261" s="363">
        <v>0</v>
      </c>
      <c r="CA261" s="363">
        <v>0</v>
      </c>
      <c r="CB261" s="363">
        <v>0</v>
      </c>
      <c r="CC261" s="363">
        <v>0</v>
      </c>
      <c r="CD261" s="363">
        <v>0</v>
      </c>
      <c r="CE261" s="363">
        <v>0</v>
      </c>
      <c r="CF261" s="363">
        <v>0</v>
      </c>
      <c r="CG261" s="363">
        <v>0</v>
      </c>
      <c r="CH261" s="363">
        <v>0</v>
      </c>
      <c r="CI261" s="363">
        <v>0</v>
      </c>
      <c r="CJ261" s="363">
        <v>0</v>
      </c>
      <c r="CK261" s="363">
        <v>0</v>
      </c>
      <c r="CL261" s="363">
        <v>0</v>
      </c>
      <c r="CM261" s="363">
        <v>0</v>
      </c>
      <c r="CN261" s="363">
        <v>0</v>
      </c>
      <c r="CO261" s="363">
        <v>0</v>
      </c>
      <c r="CP261" s="363">
        <v>0</v>
      </c>
      <c r="CQ261" s="363">
        <v>0</v>
      </c>
      <c r="CR261" s="363">
        <v>0</v>
      </c>
      <c r="CS261" s="363">
        <v>0</v>
      </c>
      <c r="CT261" s="363">
        <v>0</v>
      </c>
      <c r="CU261" s="363">
        <v>0</v>
      </c>
      <c r="CV261" s="363">
        <v>0</v>
      </c>
      <c r="CW261" s="363">
        <v>0</v>
      </c>
      <c r="CX261" s="363">
        <v>0</v>
      </c>
      <c r="CY261" s="363">
        <v>0</v>
      </c>
      <c r="CZ261" s="363">
        <v>0</v>
      </c>
      <c r="DA261" s="363">
        <v>0</v>
      </c>
      <c r="DB261" s="363">
        <v>0</v>
      </c>
      <c r="DC261" s="363">
        <v>0</v>
      </c>
      <c r="DD261" s="363">
        <v>0</v>
      </c>
      <c r="DE261" s="363">
        <v>0</v>
      </c>
      <c r="DF261" s="363">
        <v>0</v>
      </c>
      <c r="DG261" s="363">
        <v>0</v>
      </c>
      <c r="DH261" s="363">
        <v>0</v>
      </c>
      <c r="DI261" s="363">
        <v>0</v>
      </c>
      <c r="DJ261" s="363">
        <v>0</v>
      </c>
      <c r="DK261" s="363">
        <v>0</v>
      </c>
      <c r="DL261" s="363">
        <v>0</v>
      </c>
      <c r="DM261" s="363">
        <v>0</v>
      </c>
      <c r="DN261" s="363">
        <v>0</v>
      </c>
      <c r="DO261" s="363">
        <v>0</v>
      </c>
      <c r="DP261" s="363">
        <v>0</v>
      </c>
      <c r="DQ261" s="363">
        <v>0</v>
      </c>
      <c r="DR261" s="363">
        <v>0</v>
      </c>
      <c r="DS261" s="363">
        <v>0</v>
      </c>
      <c r="DT261" s="363">
        <v>0</v>
      </c>
      <c r="DU261" s="363">
        <v>0</v>
      </c>
      <c r="DV261" s="363">
        <v>0</v>
      </c>
      <c r="DW261" s="544">
        <f t="shared" si="36"/>
        <v>0</v>
      </c>
      <c r="DX261" s="858"/>
      <c r="DY261" s="705"/>
      <c r="DZ261" s="871"/>
      <c r="EA261" s="873"/>
      <c r="EB261" s="859"/>
      <c r="EC261" s="859"/>
      <c r="ED261" s="859"/>
      <c r="EE261" s="859"/>
      <c r="EF261" s="861"/>
      <c r="EG261" s="1106"/>
      <c r="EI261" s="858"/>
      <c r="EJ261" s="877"/>
      <c r="ER261" s="497"/>
    </row>
    <row r="262" spans="1:148" s="278" customFormat="1" ht="12.75" outlineLevel="2" thickBot="1" x14ac:dyDescent="0.25">
      <c r="A262" s="930"/>
      <c r="B262" s="887"/>
      <c r="C262" s="904"/>
      <c r="D262" s="865"/>
      <c r="E262" s="868"/>
      <c r="F262" s="315" t="s">
        <v>211</v>
      </c>
      <c r="G262" s="364">
        <v>0</v>
      </c>
      <c r="H262" s="364">
        <v>0</v>
      </c>
      <c r="I262" s="364">
        <v>0</v>
      </c>
      <c r="J262" s="364">
        <v>0</v>
      </c>
      <c r="K262" s="364">
        <v>0</v>
      </c>
      <c r="L262" s="364">
        <v>0</v>
      </c>
      <c r="M262" s="364">
        <v>0</v>
      </c>
      <c r="N262" s="364">
        <v>0</v>
      </c>
      <c r="O262" s="364">
        <v>0</v>
      </c>
      <c r="P262" s="364">
        <v>0</v>
      </c>
      <c r="Q262" s="364">
        <v>0</v>
      </c>
      <c r="R262" s="364">
        <v>0</v>
      </c>
      <c r="S262" s="364">
        <v>0</v>
      </c>
      <c r="T262" s="364">
        <v>0</v>
      </c>
      <c r="U262" s="364">
        <v>0</v>
      </c>
      <c r="V262" s="364">
        <v>0</v>
      </c>
      <c r="W262" s="364">
        <v>0</v>
      </c>
      <c r="X262" s="364">
        <v>0</v>
      </c>
      <c r="Y262" s="364">
        <v>0</v>
      </c>
      <c r="Z262" s="364">
        <v>0</v>
      </c>
      <c r="AA262" s="364">
        <v>0</v>
      </c>
      <c r="AB262" s="364">
        <v>0</v>
      </c>
      <c r="AC262" s="364">
        <v>0</v>
      </c>
      <c r="AD262" s="364">
        <v>0</v>
      </c>
      <c r="AE262" s="364">
        <v>0</v>
      </c>
      <c r="AF262" s="364">
        <v>0</v>
      </c>
      <c r="AG262" s="364">
        <v>0</v>
      </c>
      <c r="AH262" s="364">
        <v>0</v>
      </c>
      <c r="AI262" s="364">
        <v>0</v>
      </c>
      <c r="AJ262" s="364">
        <v>0</v>
      </c>
      <c r="AK262" s="364">
        <v>0</v>
      </c>
      <c r="AL262" s="364">
        <v>0</v>
      </c>
      <c r="AM262" s="364">
        <v>0</v>
      </c>
      <c r="AN262" s="364">
        <v>0</v>
      </c>
      <c r="AO262" s="364">
        <v>0</v>
      </c>
      <c r="AP262" s="364">
        <v>0</v>
      </c>
      <c r="AQ262" s="364">
        <v>0</v>
      </c>
      <c r="AR262" s="364">
        <v>0</v>
      </c>
      <c r="AS262" s="364">
        <v>0</v>
      </c>
      <c r="AT262" s="364">
        <v>0</v>
      </c>
      <c r="AU262" s="364">
        <v>0</v>
      </c>
      <c r="AV262" s="364">
        <v>0</v>
      </c>
      <c r="AW262" s="364">
        <v>0</v>
      </c>
      <c r="AX262" s="364">
        <v>0</v>
      </c>
      <c r="AY262" s="364">
        <v>0</v>
      </c>
      <c r="AZ262" s="364">
        <v>0</v>
      </c>
      <c r="BA262" s="364">
        <v>0</v>
      </c>
      <c r="BB262" s="364">
        <v>0</v>
      </c>
      <c r="BC262" s="363">
        <v>0</v>
      </c>
      <c r="BD262" s="363">
        <v>0</v>
      </c>
      <c r="BE262" s="363">
        <v>0</v>
      </c>
      <c r="BF262" s="363">
        <v>0</v>
      </c>
      <c r="BG262" s="363">
        <v>0</v>
      </c>
      <c r="BH262" s="363">
        <v>0</v>
      </c>
      <c r="BI262" s="363">
        <v>0</v>
      </c>
      <c r="BJ262" s="363">
        <v>0</v>
      </c>
      <c r="BK262" s="363">
        <v>0</v>
      </c>
      <c r="BL262" s="363">
        <v>0</v>
      </c>
      <c r="BM262" s="363">
        <v>0</v>
      </c>
      <c r="BN262" s="363">
        <v>0</v>
      </c>
      <c r="BO262" s="363">
        <v>0</v>
      </c>
      <c r="BP262" s="363">
        <v>0</v>
      </c>
      <c r="BQ262" s="363">
        <v>0</v>
      </c>
      <c r="BR262" s="363">
        <v>0</v>
      </c>
      <c r="BS262" s="363">
        <v>0</v>
      </c>
      <c r="BT262" s="363">
        <v>0</v>
      </c>
      <c r="BU262" s="363">
        <v>0</v>
      </c>
      <c r="BV262" s="363">
        <v>0</v>
      </c>
      <c r="BW262" s="363">
        <v>0</v>
      </c>
      <c r="BX262" s="363">
        <v>0</v>
      </c>
      <c r="BY262" s="363">
        <v>0</v>
      </c>
      <c r="BZ262" s="363">
        <v>0</v>
      </c>
      <c r="CA262" s="363">
        <v>0</v>
      </c>
      <c r="CB262" s="363">
        <v>0</v>
      </c>
      <c r="CC262" s="363">
        <v>0</v>
      </c>
      <c r="CD262" s="363">
        <v>0</v>
      </c>
      <c r="CE262" s="363">
        <v>0</v>
      </c>
      <c r="CF262" s="363">
        <v>0</v>
      </c>
      <c r="CG262" s="363">
        <v>0</v>
      </c>
      <c r="CH262" s="363">
        <v>0</v>
      </c>
      <c r="CI262" s="363">
        <v>0</v>
      </c>
      <c r="CJ262" s="363">
        <v>0</v>
      </c>
      <c r="CK262" s="363">
        <v>0</v>
      </c>
      <c r="CL262" s="363">
        <v>0</v>
      </c>
      <c r="CM262" s="363">
        <v>0</v>
      </c>
      <c r="CN262" s="363">
        <v>0</v>
      </c>
      <c r="CO262" s="363">
        <v>0</v>
      </c>
      <c r="CP262" s="363">
        <v>0</v>
      </c>
      <c r="CQ262" s="363">
        <v>0</v>
      </c>
      <c r="CR262" s="363">
        <v>0</v>
      </c>
      <c r="CS262" s="363">
        <v>0</v>
      </c>
      <c r="CT262" s="363">
        <v>0</v>
      </c>
      <c r="CU262" s="363">
        <v>0</v>
      </c>
      <c r="CV262" s="363">
        <v>0</v>
      </c>
      <c r="CW262" s="363">
        <v>0</v>
      </c>
      <c r="CX262" s="363">
        <v>0</v>
      </c>
      <c r="CY262" s="363">
        <v>0</v>
      </c>
      <c r="CZ262" s="363">
        <v>0</v>
      </c>
      <c r="DA262" s="363">
        <v>0</v>
      </c>
      <c r="DB262" s="363">
        <v>0</v>
      </c>
      <c r="DC262" s="363">
        <v>0</v>
      </c>
      <c r="DD262" s="363">
        <v>0</v>
      </c>
      <c r="DE262" s="363">
        <v>0</v>
      </c>
      <c r="DF262" s="363">
        <v>0</v>
      </c>
      <c r="DG262" s="363">
        <v>0</v>
      </c>
      <c r="DH262" s="363">
        <v>0</v>
      </c>
      <c r="DI262" s="363">
        <v>0</v>
      </c>
      <c r="DJ262" s="363">
        <v>0</v>
      </c>
      <c r="DK262" s="363">
        <v>0</v>
      </c>
      <c r="DL262" s="363">
        <v>0</v>
      </c>
      <c r="DM262" s="363">
        <v>0</v>
      </c>
      <c r="DN262" s="363">
        <v>0</v>
      </c>
      <c r="DO262" s="363">
        <v>0</v>
      </c>
      <c r="DP262" s="363">
        <v>0</v>
      </c>
      <c r="DQ262" s="363">
        <v>0</v>
      </c>
      <c r="DR262" s="364">
        <v>0</v>
      </c>
      <c r="DS262" s="364">
        <v>0</v>
      </c>
      <c r="DT262" s="364">
        <v>0</v>
      </c>
      <c r="DU262" s="364">
        <v>0</v>
      </c>
      <c r="DV262" s="364">
        <v>0</v>
      </c>
      <c r="DW262" s="545">
        <f t="shared" si="36"/>
        <v>0</v>
      </c>
      <c r="DX262" s="858"/>
      <c r="DY262" s="706"/>
      <c r="DZ262" s="872"/>
      <c r="EA262" s="873"/>
      <c r="EB262" s="859"/>
      <c r="EC262" s="859"/>
      <c r="ED262" s="859"/>
      <c r="EE262" s="859"/>
      <c r="EF262" s="861"/>
      <c r="EG262" s="1107"/>
      <c r="EI262" s="858"/>
      <c r="EJ262" s="877"/>
      <c r="ER262" s="497"/>
    </row>
    <row r="263" spans="1:148" s="278" customFormat="1" ht="24" outlineLevel="2" x14ac:dyDescent="0.2">
      <c r="A263" s="928"/>
      <c r="B263" s="897" t="s">
        <v>174</v>
      </c>
      <c r="C263" s="902">
        <v>3</v>
      </c>
      <c r="D263" s="863">
        <f>+IFERROR(VLOOKUP(B263,'Detalle Plan de Adquisiciones'!$G$6:$M$66,7,FALSE),0)</f>
        <v>0</v>
      </c>
      <c r="E263" s="866" t="str">
        <f>+'Detalle Plan de Adquisiciones'!F57</f>
        <v>PTN EN LA DIAGONAL 2E ENTRE TRANSVERSAL 9 Y EL CEMENTERIO DEL P5.</v>
      </c>
      <c r="F263" s="312" t="s">
        <v>410</v>
      </c>
      <c r="G263" s="354">
        <v>0</v>
      </c>
      <c r="H263" s="354">
        <v>0</v>
      </c>
      <c r="I263" s="354">
        <v>0</v>
      </c>
      <c r="J263" s="354">
        <v>0</v>
      </c>
      <c r="K263" s="354">
        <v>0</v>
      </c>
      <c r="L263" s="354">
        <v>0</v>
      </c>
      <c r="M263" s="354">
        <v>0</v>
      </c>
      <c r="N263" s="354">
        <v>0</v>
      </c>
      <c r="O263" s="354">
        <v>0</v>
      </c>
      <c r="P263" s="354">
        <v>0</v>
      </c>
      <c r="Q263" s="354">
        <v>0</v>
      </c>
      <c r="R263" s="354">
        <v>0</v>
      </c>
      <c r="S263" s="354">
        <v>0</v>
      </c>
      <c r="T263" s="354">
        <v>0</v>
      </c>
      <c r="U263" s="354">
        <v>0</v>
      </c>
      <c r="V263" s="354">
        <v>0</v>
      </c>
      <c r="W263" s="354">
        <v>0</v>
      </c>
      <c r="X263" s="354">
        <v>0</v>
      </c>
      <c r="Y263" s="354">
        <v>0</v>
      </c>
      <c r="Z263" s="354">
        <v>0</v>
      </c>
      <c r="AA263" s="354">
        <v>0</v>
      </c>
      <c r="AB263" s="354">
        <v>0</v>
      </c>
      <c r="AC263" s="354">
        <v>0</v>
      </c>
      <c r="AD263" s="354">
        <v>0</v>
      </c>
      <c r="AE263" s="354">
        <v>0</v>
      </c>
      <c r="AF263" s="354">
        <v>0</v>
      </c>
      <c r="AG263" s="354">
        <v>0</v>
      </c>
      <c r="AH263" s="354">
        <v>0</v>
      </c>
      <c r="AI263" s="354">
        <v>0</v>
      </c>
      <c r="AJ263" s="354">
        <v>0</v>
      </c>
      <c r="AK263" s="354">
        <v>0</v>
      </c>
      <c r="AL263" s="354">
        <v>0</v>
      </c>
      <c r="AM263" s="354">
        <v>0</v>
      </c>
      <c r="AN263" s="354">
        <v>0</v>
      </c>
      <c r="AO263" s="354">
        <v>0</v>
      </c>
      <c r="AP263" s="354">
        <v>0</v>
      </c>
      <c r="AQ263" s="354">
        <v>0</v>
      </c>
      <c r="AR263" s="354">
        <v>0</v>
      </c>
      <c r="AS263" s="354">
        <v>0</v>
      </c>
      <c r="AT263" s="354">
        <v>0</v>
      </c>
      <c r="AU263" s="354">
        <v>0</v>
      </c>
      <c r="AV263" s="354">
        <v>0</v>
      </c>
      <c r="AW263" s="354">
        <v>0</v>
      </c>
      <c r="AX263" s="354">
        <v>0</v>
      </c>
      <c r="AY263" s="354">
        <v>0</v>
      </c>
      <c r="AZ263" s="354">
        <v>0</v>
      </c>
      <c r="BA263" s="354">
        <v>0</v>
      </c>
      <c r="BB263" s="354">
        <v>0</v>
      </c>
      <c r="BC263" s="363">
        <v>0</v>
      </c>
      <c r="BD263" s="363">
        <v>0</v>
      </c>
      <c r="BE263" s="363">
        <v>0</v>
      </c>
      <c r="BF263" s="363">
        <v>0</v>
      </c>
      <c r="BG263" s="363">
        <v>0</v>
      </c>
      <c r="BH263" s="363">
        <v>0</v>
      </c>
      <c r="BI263" s="363">
        <v>0</v>
      </c>
      <c r="BJ263" s="363">
        <v>0</v>
      </c>
      <c r="BK263" s="363">
        <v>0</v>
      </c>
      <c r="BL263" s="363">
        <v>0</v>
      </c>
      <c r="BM263" s="363">
        <v>0</v>
      </c>
      <c r="BN263" s="363">
        <v>0</v>
      </c>
      <c r="BO263" s="363">
        <v>0</v>
      </c>
      <c r="BP263" s="363">
        <v>0</v>
      </c>
      <c r="BQ263" s="363">
        <v>0</v>
      </c>
      <c r="BR263" s="363">
        <v>0</v>
      </c>
      <c r="BS263" s="363">
        <v>0</v>
      </c>
      <c r="BT263" s="363">
        <v>0</v>
      </c>
      <c r="BU263" s="363">
        <v>0</v>
      </c>
      <c r="BV263" s="363">
        <v>0</v>
      </c>
      <c r="BW263" s="363">
        <v>0</v>
      </c>
      <c r="BX263" s="363">
        <v>0</v>
      </c>
      <c r="BY263" s="363">
        <v>0</v>
      </c>
      <c r="BZ263" s="363">
        <v>0</v>
      </c>
      <c r="CA263" s="363">
        <v>0</v>
      </c>
      <c r="CB263" s="363">
        <v>0</v>
      </c>
      <c r="CC263" s="363">
        <v>0</v>
      </c>
      <c r="CD263" s="363">
        <v>0</v>
      </c>
      <c r="CE263" s="363">
        <v>0</v>
      </c>
      <c r="CF263" s="363">
        <v>0</v>
      </c>
      <c r="CG263" s="363">
        <v>0</v>
      </c>
      <c r="CH263" s="363">
        <v>0</v>
      </c>
      <c r="CI263" s="363">
        <v>0</v>
      </c>
      <c r="CJ263" s="363">
        <v>0</v>
      </c>
      <c r="CK263" s="363">
        <v>0</v>
      </c>
      <c r="CL263" s="363">
        <v>0</v>
      </c>
      <c r="CM263" s="363">
        <v>0</v>
      </c>
      <c r="CN263" s="363">
        <v>0</v>
      </c>
      <c r="CO263" s="363">
        <v>0</v>
      </c>
      <c r="CP263" s="363">
        <v>0</v>
      </c>
      <c r="CQ263" s="363">
        <v>0</v>
      </c>
      <c r="CR263" s="363">
        <v>0</v>
      </c>
      <c r="CS263" s="363">
        <v>0</v>
      </c>
      <c r="CT263" s="363">
        <v>0</v>
      </c>
      <c r="CU263" s="363">
        <v>0</v>
      </c>
      <c r="CV263" s="363">
        <v>0</v>
      </c>
      <c r="CW263" s="363">
        <v>0</v>
      </c>
      <c r="CX263" s="363">
        <v>0</v>
      </c>
      <c r="CY263" s="363">
        <v>0</v>
      </c>
      <c r="CZ263" s="363">
        <v>0</v>
      </c>
      <c r="DA263" s="363">
        <v>0</v>
      </c>
      <c r="DB263" s="363">
        <v>0</v>
      </c>
      <c r="DC263" s="363">
        <v>0</v>
      </c>
      <c r="DD263" s="363">
        <v>0</v>
      </c>
      <c r="DE263" s="363">
        <v>0</v>
      </c>
      <c r="DF263" s="363">
        <v>0</v>
      </c>
      <c r="DG263" s="363">
        <v>0</v>
      </c>
      <c r="DH263" s="363">
        <v>0</v>
      </c>
      <c r="DI263" s="363">
        <v>0</v>
      </c>
      <c r="DJ263" s="363">
        <v>0</v>
      </c>
      <c r="DK263" s="363">
        <v>0</v>
      </c>
      <c r="DL263" s="363">
        <v>0</v>
      </c>
      <c r="DM263" s="363">
        <v>0</v>
      </c>
      <c r="DN263" s="363">
        <v>0</v>
      </c>
      <c r="DO263" s="363">
        <v>0</v>
      </c>
      <c r="DP263" s="363">
        <v>0</v>
      </c>
      <c r="DQ263" s="363">
        <v>0</v>
      </c>
      <c r="DR263" s="354">
        <v>0</v>
      </c>
      <c r="DS263" s="354">
        <v>0</v>
      </c>
      <c r="DT263" s="354">
        <v>0</v>
      </c>
      <c r="DU263" s="354">
        <v>0</v>
      </c>
      <c r="DV263" s="354">
        <v>0</v>
      </c>
      <c r="DW263" s="543">
        <f t="shared" si="36"/>
        <v>0</v>
      </c>
      <c r="DX263" s="858">
        <f>DW263+DW264+DW265</f>
        <v>0</v>
      </c>
      <c r="DY263" s="704">
        <f>+DX263*1000000</f>
        <v>0</v>
      </c>
      <c r="DZ263" s="870">
        <f>+DY263-D263</f>
        <v>0</v>
      </c>
      <c r="EA263" s="873" t="str">
        <f>VLOOKUP(POA!$B263,'Detalle Plan de Adquisiciones'!$G$6:$AF$66,23,0)</f>
        <v>N/A</v>
      </c>
      <c r="EB263" s="859" t="str">
        <f>VLOOKUP(POA!$B263,'Detalle Plan de Adquisiciones'!$G$6:$AF$66,25,0)</f>
        <v>N/A</v>
      </c>
      <c r="EC263" s="859" t="e">
        <f>EB263+30</f>
        <v>#VALUE!</v>
      </c>
      <c r="ED263" s="859" t="e">
        <f>CONCATENATE(MONTH(EA263),"-",YEAR(EA263))</f>
        <v>#VALUE!</v>
      </c>
      <c r="EE263" s="859" t="e">
        <f>CONCATENATE(MONTH(EB263),"-",YEAR(EB263))</f>
        <v>#VALUE!</v>
      </c>
      <c r="EF263" s="861" t="e">
        <f>CONCATENATE(MONTH(EC263),"-",YEAR(EC263))</f>
        <v>#VALUE!</v>
      </c>
      <c r="EG263" s="1105" t="e">
        <f>+YEAR(EA263)</f>
        <v>#VALUE!</v>
      </c>
      <c r="EI263" s="858">
        <f>+DW263+DW264+DW265</f>
        <v>0</v>
      </c>
      <c r="EJ263" s="877">
        <f>+D263/1000000-EI263</f>
        <v>0</v>
      </c>
      <c r="ER263" s="497"/>
    </row>
    <row r="264" spans="1:148" s="278" customFormat="1" outlineLevel="2" x14ac:dyDescent="0.2">
      <c r="A264" s="929"/>
      <c r="B264" s="886"/>
      <c r="C264" s="903"/>
      <c r="D264" s="864"/>
      <c r="E264" s="867"/>
      <c r="F264" s="311" t="s">
        <v>210</v>
      </c>
      <c r="G264" s="363">
        <v>0</v>
      </c>
      <c r="H264" s="363">
        <v>0</v>
      </c>
      <c r="I264" s="363">
        <v>0</v>
      </c>
      <c r="J264" s="363">
        <v>0</v>
      </c>
      <c r="K264" s="363">
        <v>0</v>
      </c>
      <c r="L264" s="363">
        <v>0</v>
      </c>
      <c r="M264" s="363">
        <v>0</v>
      </c>
      <c r="N264" s="363">
        <v>0</v>
      </c>
      <c r="O264" s="363">
        <v>0</v>
      </c>
      <c r="P264" s="363">
        <v>0</v>
      </c>
      <c r="Q264" s="363">
        <v>0</v>
      </c>
      <c r="R264" s="363">
        <v>0</v>
      </c>
      <c r="S264" s="363">
        <v>0</v>
      </c>
      <c r="T264" s="363">
        <v>0</v>
      </c>
      <c r="U264" s="363">
        <v>0</v>
      </c>
      <c r="V264" s="363">
        <v>0</v>
      </c>
      <c r="W264" s="363">
        <v>0</v>
      </c>
      <c r="X264" s="363">
        <v>0</v>
      </c>
      <c r="Y264" s="363">
        <v>0</v>
      </c>
      <c r="Z264" s="363">
        <v>0</v>
      </c>
      <c r="AA264" s="363">
        <v>0</v>
      </c>
      <c r="AB264" s="363">
        <v>0</v>
      </c>
      <c r="AC264" s="363">
        <v>0</v>
      </c>
      <c r="AD264" s="363">
        <v>0</v>
      </c>
      <c r="AE264" s="363">
        <v>0</v>
      </c>
      <c r="AF264" s="363">
        <v>0</v>
      </c>
      <c r="AG264" s="363">
        <v>0</v>
      </c>
      <c r="AH264" s="363">
        <v>0</v>
      </c>
      <c r="AI264" s="363">
        <v>0</v>
      </c>
      <c r="AJ264" s="363">
        <v>0</v>
      </c>
      <c r="AK264" s="363">
        <v>0</v>
      </c>
      <c r="AL264" s="363">
        <v>0</v>
      </c>
      <c r="AM264" s="363">
        <v>0</v>
      </c>
      <c r="AN264" s="363">
        <v>0</v>
      </c>
      <c r="AO264" s="363">
        <v>0</v>
      </c>
      <c r="AP264" s="363">
        <v>0</v>
      </c>
      <c r="AQ264" s="363">
        <v>0</v>
      </c>
      <c r="AR264" s="363">
        <v>0</v>
      </c>
      <c r="AS264" s="363">
        <v>0</v>
      </c>
      <c r="AT264" s="363">
        <v>0</v>
      </c>
      <c r="AU264" s="363">
        <v>0</v>
      </c>
      <c r="AV264" s="363">
        <v>0</v>
      </c>
      <c r="AW264" s="363">
        <v>0</v>
      </c>
      <c r="AX264" s="363">
        <v>0</v>
      </c>
      <c r="AY264" s="363">
        <v>0</v>
      </c>
      <c r="AZ264" s="363">
        <v>0</v>
      </c>
      <c r="BA264" s="363">
        <v>0</v>
      </c>
      <c r="BB264" s="363">
        <v>0</v>
      </c>
      <c r="BC264" s="363">
        <v>0</v>
      </c>
      <c r="BD264" s="363">
        <v>0</v>
      </c>
      <c r="BE264" s="363">
        <v>0</v>
      </c>
      <c r="BF264" s="363">
        <v>0</v>
      </c>
      <c r="BG264" s="363">
        <v>0</v>
      </c>
      <c r="BH264" s="363">
        <v>0</v>
      </c>
      <c r="BI264" s="363">
        <v>0</v>
      </c>
      <c r="BJ264" s="363">
        <v>0</v>
      </c>
      <c r="BK264" s="363">
        <v>0</v>
      </c>
      <c r="BL264" s="363">
        <v>0</v>
      </c>
      <c r="BM264" s="363">
        <v>0</v>
      </c>
      <c r="BN264" s="363">
        <v>0</v>
      </c>
      <c r="BO264" s="363">
        <v>0</v>
      </c>
      <c r="BP264" s="363">
        <v>0</v>
      </c>
      <c r="BQ264" s="363">
        <v>0</v>
      </c>
      <c r="BR264" s="363">
        <v>0</v>
      </c>
      <c r="BS264" s="363">
        <v>0</v>
      </c>
      <c r="BT264" s="363">
        <v>0</v>
      </c>
      <c r="BU264" s="363">
        <v>0</v>
      </c>
      <c r="BV264" s="363">
        <v>0</v>
      </c>
      <c r="BW264" s="363">
        <v>0</v>
      </c>
      <c r="BX264" s="363">
        <v>0</v>
      </c>
      <c r="BY264" s="363">
        <v>0</v>
      </c>
      <c r="BZ264" s="363">
        <v>0</v>
      </c>
      <c r="CA264" s="363">
        <v>0</v>
      </c>
      <c r="CB264" s="363">
        <v>0</v>
      </c>
      <c r="CC264" s="363">
        <v>0</v>
      </c>
      <c r="CD264" s="363">
        <v>0</v>
      </c>
      <c r="CE264" s="363">
        <v>0</v>
      </c>
      <c r="CF264" s="363">
        <v>0</v>
      </c>
      <c r="CG264" s="363">
        <v>0</v>
      </c>
      <c r="CH264" s="363">
        <v>0</v>
      </c>
      <c r="CI264" s="363">
        <v>0</v>
      </c>
      <c r="CJ264" s="363">
        <v>0</v>
      </c>
      <c r="CK264" s="363">
        <v>0</v>
      </c>
      <c r="CL264" s="363">
        <v>0</v>
      </c>
      <c r="CM264" s="363">
        <v>0</v>
      </c>
      <c r="CN264" s="363">
        <v>0</v>
      </c>
      <c r="CO264" s="363">
        <v>0</v>
      </c>
      <c r="CP264" s="363">
        <v>0</v>
      </c>
      <c r="CQ264" s="363">
        <v>0</v>
      </c>
      <c r="CR264" s="363">
        <v>0</v>
      </c>
      <c r="CS264" s="363">
        <v>0</v>
      </c>
      <c r="CT264" s="363">
        <v>0</v>
      </c>
      <c r="CU264" s="363">
        <v>0</v>
      </c>
      <c r="CV264" s="363">
        <v>0</v>
      </c>
      <c r="CW264" s="363">
        <v>0</v>
      </c>
      <c r="CX264" s="363">
        <v>0</v>
      </c>
      <c r="CY264" s="363">
        <v>0</v>
      </c>
      <c r="CZ264" s="363">
        <v>0</v>
      </c>
      <c r="DA264" s="363">
        <v>0</v>
      </c>
      <c r="DB264" s="363">
        <v>0</v>
      </c>
      <c r="DC264" s="363">
        <v>0</v>
      </c>
      <c r="DD264" s="363">
        <v>0</v>
      </c>
      <c r="DE264" s="363">
        <v>0</v>
      </c>
      <c r="DF264" s="363">
        <v>0</v>
      </c>
      <c r="DG264" s="363">
        <v>0</v>
      </c>
      <c r="DH264" s="363">
        <v>0</v>
      </c>
      <c r="DI264" s="363">
        <v>0</v>
      </c>
      <c r="DJ264" s="363">
        <v>0</v>
      </c>
      <c r="DK264" s="363">
        <v>0</v>
      </c>
      <c r="DL264" s="363">
        <v>0</v>
      </c>
      <c r="DM264" s="363">
        <v>0</v>
      </c>
      <c r="DN264" s="363">
        <v>0</v>
      </c>
      <c r="DO264" s="363">
        <v>0</v>
      </c>
      <c r="DP264" s="363">
        <v>0</v>
      </c>
      <c r="DQ264" s="363">
        <v>0</v>
      </c>
      <c r="DR264" s="363">
        <v>0</v>
      </c>
      <c r="DS264" s="363">
        <v>0</v>
      </c>
      <c r="DT264" s="363">
        <v>0</v>
      </c>
      <c r="DU264" s="363">
        <v>0</v>
      </c>
      <c r="DV264" s="363">
        <v>0</v>
      </c>
      <c r="DW264" s="544">
        <f t="shared" si="36"/>
        <v>0</v>
      </c>
      <c r="DX264" s="858"/>
      <c r="DY264" s="705"/>
      <c r="DZ264" s="871"/>
      <c r="EA264" s="873"/>
      <c r="EB264" s="859"/>
      <c r="EC264" s="859"/>
      <c r="ED264" s="859"/>
      <c r="EE264" s="859"/>
      <c r="EF264" s="861"/>
      <c r="EG264" s="1106"/>
      <c r="EI264" s="858"/>
      <c r="EJ264" s="877"/>
      <c r="ER264" s="497"/>
    </row>
    <row r="265" spans="1:148" s="278" customFormat="1" ht="12.75" outlineLevel="2" thickBot="1" x14ac:dyDescent="0.25">
      <c r="A265" s="930"/>
      <c r="B265" s="887"/>
      <c r="C265" s="904"/>
      <c r="D265" s="865"/>
      <c r="E265" s="868"/>
      <c r="F265" s="315" t="s">
        <v>211</v>
      </c>
      <c r="G265" s="364">
        <v>0</v>
      </c>
      <c r="H265" s="364">
        <v>0</v>
      </c>
      <c r="I265" s="364">
        <v>0</v>
      </c>
      <c r="J265" s="364">
        <v>0</v>
      </c>
      <c r="K265" s="364">
        <v>0</v>
      </c>
      <c r="L265" s="364">
        <v>0</v>
      </c>
      <c r="M265" s="364">
        <v>0</v>
      </c>
      <c r="N265" s="364">
        <v>0</v>
      </c>
      <c r="O265" s="364">
        <v>0</v>
      </c>
      <c r="P265" s="364">
        <v>0</v>
      </c>
      <c r="Q265" s="364">
        <v>0</v>
      </c>
      <c r="R265" s="364">
        <v>0</v>
      </c>
      <c r="S265" s="364">
        <v>0</v>
      </c>
      <c r="T265" s="364">
        <v>0</v>
      </c>
      <c r="U265" s="364">
        <v>0</v>
      </c>
      <c r="V265" s="364">
        <v>0</v>
      </c>
      <c r="W265" s="364">
        <v>0</v>
      </c>
      <c r="X265" s="364">
        <v>0</v>
      </c>
      <c r="Y265" s="364">
        <v>0</v>
      </c>
      <c r="Z265" s="364">
        <v>0</v>
      </c>
      <c r="AA265" s="364">
        <v>0</v>
      </c>
      <c r="AB265" s="364">
        <v>0</v>
      </c>
      <c r="AC265" s="364">
        <v>0</v>
      </c>
      <c r="AD265" s="364">
        <v>0</v>
      </c>
      <c r="AE265" s="364">
        <v>0</v>
      </c>
      <c r="AF265" s="364">
        <v>0</v>
      </c>
      <c r="AG265" s="364">
        <v>0</v>
      </c>
      <c r="AH265" s="364">
        <v>0</v>
      </c>
      <c r="AI265" s="364">
        <v>0</v>
      </c>
      <c r="AJ265" s="364">
        <v>0</v>
      </c>
      <c r="AK265" s="364">
        <v>0</v>
      </c>
      <c r="AL265" s="364">
        <v>0</v>
      </c>
      <c r="AM265" s="364">
        <v>0</v>
      </c>
      <c r="AN265" s="364">
        <v>0</v>
      </c>
      <c r="AO265" s="364">
        <v>0</v>
      </c>
      <c r="AP265" s="364">
        <v>0</v>
      </c>
      <c r="AQ265" s="364">
        <v>0</v>
      </c>
      <c r="AR265" s="364">
        <v>0</v>
      </c>
      <c r="AS265" s="364">
        <v>0</v>
      </c>
      <c r="AT265" s="364">
        <v>0</v>
      </c>
      <c r="AU265" s="364">
        <v>0</v>
      </c>
      <c r="AV265" s="364">
        <v>0</v>
      </c>
      <c r="AW265" s="364">
        <v>0</v>
      </c>
      <c r="AX265" s="364">
        <v>0</v>
      </c>
      <c r="AY265" s="364">
        <v>0</v>
      </c>
      <c r="AZ265" s="364">
        <v>0</v>
      </c>
      <c r="BA265" s="364">
        <v>0</v>
      </c>
      <c r="BB265" s="364">
        <v>0</v>
      </c>
      <c r="BC265" s="363">
        <v>0</v>
      </c>
      <c r="BD265" s="363">
        <v>0</v>
      </c>
      <c r="BE265" s="363">
        <v>0</v>
      </c>
      <c r="BF265" s="363">
        <v>0</v>
      </c>
      <c r="BG265" s="363">
        <v>0</v>
      </c>
      <c r="BH265" s="363">
        <v>0</v>
      </c>
      <c r="BI265" s="363">
        <v>0</v>
      </c>
      <c r="BJ265" s="363">
        <v>0</v>
      </c>
      <c r="BK265" s="363">
        <v>0</v>
      </c>
      <c r="BL265" s="363">
        <v>0</v>
      </c>
      <c r="BM265" s="363">
        <v>0</v>
      </c>
      <c r="BN265" s="363">
        <v>0</v>
      </c>
      <c r="BO265" s="363">
        <v>0</v>
      </c>
      <c r="BP265" s="363">
        <v>0</v>
      </c>
      <c r="BQ265" s="363">
        <v>0</v>
      </c>
      <c r="BR265" s="363">
        <v>0</v>
      </c>
      <c r="BS265" s="363">
        <v>0</v>
      </c>
      <c r="BT265" s="363">
        <v>0</v>
      </c>
      <c r="BU265" s="363">
        <v>0</v>
      </c>
      <c r="BV265" s="363">
        <v>0</v>
      </c>
      <c r="BW265" s="363">
        <v>0</v>
      </c>
      <c r="BX265" s="363">
        <v>0</v>
      </c>
      <c r="BY265" s="363">
        <v>0</v>
      </c>
      <c r="BZ265" s="363">
        <v>0</v>
      </c>
      <c r="CA265" s="363">
        <v>0</v>
      </c>
      <c r="CB265" s="363">
        <v>0</v>
      </c>
      <c r="CC265" s="363">
        <v>0</v>
      </c>
      <c r="CD265" s="363">
        <v>0</v>
      </c>
      <c r="CE265" s="363">
        <v>0</v>
      </c>
      <c r="CF265" s="363">
        <v>0</v>
      </c>
      <c r="CG265" s="363">
        <v>0</v>
      </c>
      <c r="CH265" s="363">
        <v>0</v>
      </c>
      <c r="CI265" s="363">
        <v>0</v>
      </c>
      <c r="CJ265" s="363">
        <v>0</v>
      </c>
      <c r="CK265" s="363">
        <v>0</v>
      </c>
      <c r="CL265" s="363">
        <v>0</v>
      </c>
      <c r="CM265" s="363">
        <v>0</v>
      </c>
      <c r="CN265" s="363">
        <v>0</v>
      </c>
      <c r="CO265" s="363">
        <v>0</v>
      </c>
      <c r="CP265" s="363">
        <v>0</v>
      </c>
      <c r="CQ265" s="363">
        <v>0</v>
      </c>
      <c r="CR265" s="363">
        <v>0</v>
      </c>
      <c r="CS265" s="363">
        <v>0</v>
      </c>
      <c r="CT265" s="363">
        <v>0</v>
      </c>
      <c r="CU265" s="363">
        <v>0</v>
      </c>
      <c r="CV265" s="363">
        <v>0</v>
      </c>
      <c r="CW265" s="363">
        <v>0</v>
      </c>
      <c r="CX265" s="363">
        <v>0</v>
      </c>
      <c r="CY265" s="363">
        <v>0</v>
      </c>
      <c r="CZ265" s="363">
        <v>0</v>
      </c>
      <c r="DA265" s="363">
        <v>0</v>
      </c>
      <c r="DB265" s="363">
        <v>0</v>
      </c>
      <c r="DC265" s="363">
        <v>0</v>
      </c>
      <c r="DD265" s="363">
        <v>0</v>
      </c>
      <c r="DE265" s="363">
        <v>0</v>
      </c>
      <c r="DF265" s="363">
        <v>0</v>
      </c>
      <c r="DG265" s="363">
        <v>0</v>
      </c>
      <c r="DH265" s="363">
        <v>0</v>
      </c>
      <c r="DI265" s="363">
        <v>0</v>
      </c>
      <c r="DJ265" s="363">
        <v>0</v>
      </c>
      <c r="DK265" s="363">
        <v>0</v>
      </c>
      <c r="DL265" s="363">
        <v>0</v>
      </c>
      <c r="DM265" s="363">
        <v>0</v>
      </c>
      <c r="DN265" s="363">
        <v>0</v>
      </c>
      <c r="DO265" s="363">
        <v>0</v>
      </c>
      <c r="DP265" s="363">
        <v>0</v>
      </c>
      <c r="DQ265" s="363">
        <v>0</v>
      </c>
      <c r="DR265" s="364">
        <v>0</v>
      </c>
      <c r="DS265" s="364">
        <v>0</v>
      </c>
      <c r="DT265" s="364">
        <v>0</v>
      </c>
      <c r="DU265" s="364">
        <v>0</v>
      </c>
      <c r="DV265" s="364">
        <v>0</v>
      </c>
      <c r="DW265" s="545">
        <f t="shared" si="36"/>
        <v>0</v>
      </c>
      <c r="DX265" s="858"/>
      <c r="DY265" s="706"/>
      <c r="DZ265" s="872"/>
      <c r="EA265" s="873"/>
      <c r="EB265" s="859"/>
      <c r="EC265" s="859"/>
      <c r="ED265" s="859"/>
      <c r="EE265" s="859"/>
      <c r="EF265" s="861"/>
      <c r="EG265" s="1107"/>
      <c r="EI265" s="858"/>
      <c r="EJ265" s="877"/>
      <c r="ER265" s="497"/>
    </row>
    <row r="266" spans="1:148" s="278" customFormat="1" ht="24" outlineLevel="2" x14ac:dyDescent="0.2">
      <c r="A266" s="928"/>
      <c r="B266" s="897" t="s">
        <v>175</v>
      </c>
      <c r="C266" s="902">
        <v>3</v>
      </c>
      <c r="D266" s="863">
        <f>+IFERROR(VLOOKUP(B266,'Detalle Plan de Adquisiciones'!$G$6:$M$66,7,FALSE),0)</f>
        <v>0</v>
      </c>
      <c r="E266" s="866" t="str">
        <f>+'Detalle Plan de Adquisiciones'!F58</f>
        <v>PTN GALILEA</v>
      </c>
      <c r="F266" s="312" t="s">
        <v>410</v>
      </c>
      <c r="G266" s="354">
        <v>0</v>
      </c>
      <c r="H266" s="354">
        <v>0</v>
      </c>
      <c r="I266" s="354">
        <v>0</v>
      </c>
      <c r="J266" s="354">
        <v>0</v>
      </c>
      <c r="K266" s="354">
        <v>0</v>
      </c>
      <c r="L266" s="354">
        <v>0</v>
      </c>
      <c r="M266" s="354">
        <v>0</v>
      </c>
      <c r="N266" s="354">
        <v>0</v>
      </c>
      <c r="O266" s="354">
        <v>0</v>
      </c>
      <c r="P266" s="354">
        <v>0</v>
      </c>
      <c r="Q266" s="354">
        <v>0</v>
      </c>
      <c r="R266" s="354">
        <v>0</v>
      </c>
      <c r="S266" s="354">
        <v>0</v>
      </c>
      <c r="T266" s="354">
        <v>0</v>
      </c>
      <c r="U266" s="354">
        <v>0</v>
      </c>
      <c r="V266" s="354">
        <v>0</v>
      </c>
      <c r="W266" s="354">
        <v>0</v>
      </c>
      <c r="X266" s="354">
        <v>0</v>
      </c>
      <c r="Y266" s="354">
        <v>0</v>
      </c>
      <c r="Z266" s="354">
        <v>0</v>
      </c>
      <c r="AA266" s="354">
        <v>0</v>
      </c>
      <c r="AB266" s="354">
        <v>0</v>
      </c>
      <c r="AC266" s="354">
        <v>0</v>
      </c>
      <c r="AD266" s="354">
        <v>0</v>
      </c>
      <c r="AE266" s="354">
        <v>0</v>
      </c>
      <c r="AF266" s="354">
        <v>0</v>
      </c>
      <c r="AG266" s="354">
        <v>0</v>
      </c>
      <c r="AH266" s="354">
        <v>0</v>
      </c>
      <c r="AI266" s="354">
        <v>0</v>
      </c>
      <c r="AJ266" s="354">
        <v>0</v>
      </c>
      <c r="AK266" s="354">
        <v>0</v>
      </c>
      <c r="AL266" s="354">
        <v>0</v>
      </c>
      <c r="AM266" s="354">
        <v>0</v>
      </c>
      <c r="AN266" s="354">
        <v>0</v>
      </c>
      <c r="AO266" s="354">
        <v>0</v>
      </c>
      <c r="AP266" s="354">
        <v>0</v>
      </c>
      <c r="AQ266" s="354">
        <v>0</v>
      </c>
      <c r="AR266" s="354">
        <v>0</v>
      </c>
      <c r="AS266" s="354">
        <v>0</v>
      </c>
      <c r="AT266" s="354">
        <v>0</v>
      </c>
      <c r="AU266" s="354">
        <v>0</v>
      </c>
      <c r="AV266" s="354">
        <v>0</v>
      </c>
      <c r="AW266" s="354">
        <v>0</v>
      </c>
      <c r="AX266" s="354">
        <v>0</v>
      </c>
      <c r="AY266" s="354">
        <v>0</v>
      </c>
      <c r="AZ266" s="354">
        <v>0</v>
      </c>
      <c r="BA266" s="354">
        <v>0</v>
      </c>
      <c r="BB266" s="354">
        <v>0</v>
      </c>
      <c r="BC266" s="363">
        <v>0</v>
      </c>
      <c r="BD266" s="363">
        <v>0</v>
      </c>
      <c r="BE266" s="363">
        <v>0</v>
      </c>
      <c r="BF266" s="363">
        <v>0</v>
      </c>
      <c r="BG266" s="363">
        <v>0</v>
      </c>
      <c r="BH266" s="363">
        <v>0</v>
      </c>
      <c r="BI266" s="363">
        <v>0</v>
      </c>
      <c r="BJ266" s="363">
        <v>0</v>
      </c>
      <c r="BK266" s="363">
        <v>0</v>
      </c>
      <c r="BL266" s="363">
        <v>0</v>
      </c>
      <c r="BM266" s="363">
        <v>0</v>
      </c>
      <c r="BN266" s="363">
        <v>0</v>
      </c>
      <c r="BO266" s="363">
        <v>0</v>
      </c>
      <c r="BP266" s="363">
        <v>0</v>
      </c>
      <c r="BQ266" s="363">
        <v>0</v>
      </c>
      <c r="BR266" s="363">
        <v>0</v>
      </c>
      <c r="BS266" s="363">
        <v>0</v>
      </c>
      <c r="BT266" s="363">
        <v>0</v>
      </c>
      <c r="BU266" s="363">
        <v>0</v>
      </c>
      <c r="BV266" s="363">
        <v>0</v>
      </c>
      <c r="BW266" s="363">
        <v>0</v>
      </c>
      <c r="BX266" s="363">
        <v>0</v>
      </c>
      <c r="BY266" s="363">
        <v>0</v>
      </c>
      <c r="BZ266" s="363">
        <v>0</v>
      </c>
      <c r="CA266" s="363">
        <v>0</v>
      </c>
      <c r="CB266" s="363">
        <v>0</v>
      </c>
      <c r="CC266" s="363">
        <v>0</v>
      </c>
      <c r="CD266" s="363">
        <v>0</v>
      </c>
      <c r="CE266" s="363">
        <v>0</v>
      </c>
      <c r="CF266" s="363">
        <v>0</v>
      </c>
      <c r="CG266" s="363">
        <v>0</v>
      </c>
      <c r="CH266" s="363">
        <v>0</v>
      </c>
      <c r="CI266" s="363">
        <v>0</v>
      </c>
      <c r="CJ266" s="363">
        <v>0</v>
      </c>
      <c r="CK266" s="363">
        <v>0</v>
      </c>
      <c r="CL266" s="363">
        <v>0</v>
      </c>
      <c r="CM266" s="363">
        <v>0</v>
      </c>
      <c r="CN266" s="363">
        <v>0</v>
      </c>
      <c r="CO266" s="363">
        <v>0</v>
      </c>
      <c r="CP266" s="363">
        <v>0</v>
      </c>
      <c r="CQ266" s="363">
        <v>0</v>
      </c>
      <c r="CR266" s="363">
        <v>0</v>
      </c>
      <c r="CS266" s="363">
        <v>0</v>
      </c>
      <c r="CT266" s="363">
        <v>0</v>
      </c>
      <c r="CU266" s="363">
        <v>0</v>
      </c>
      <c r="CV266" s="363">
        <v>0</v>
      </c>
      <c r="CW266" s="363">
        <v>0</v>
      </c>
      <c r="CX266" s="363">
        <v>0</v>
      </c>
      <c r="CY266" s="363">
        <v>0</v>
      </c>
      <c r="CZ266" s="363">
        <v>0</v>
      </c>
      <c r="DA266" s="363">
        <v>0</v>
      </c>
      <c r="DB266" s="363">
        <v>0</v>
      </c>
      <c r="DC266" s="363">
        <v>0</v>
      </c>
      <c r="DD266" s="363">
        <v>0</v>
      </c>
      <c r="DE266" s="363">
        <v>0</v>
      </c>
      <c r="DF266" s="363">
        <v>0</v>
      </c>
      <c r="DG266" s="363">
        <v>0</v>
      </c>
      <c r="DH266" s="363">
        <v>0</v>
      </c>
      <c r="DI266" s="363">
        <v>0</v>
      </c>
      <c r="DJ266" s="363">
        <v>0</v>
      </c>
      <c r="DK266" s="363">
        <v>0</v>
      </c>
      <c r="DL266" s="363">
        <v>0</v>
      </c>
      <c r="DM266" s="363">
        <v>0</v>
      </c>
      <c r="DN266" s="363">
        <v>0</v>
      </c>
      <c r="DO266" s="363">
        <v>0</v>
      </c>
      <c r="DP266" s="363">
        <v>0</v>
      </c>
      <c r="DQ266" s="363">
        <v>0</v>
      </c>
      <c r="DR266" s="354">
        <v>0</v>
      </c>
      <c r="DS266" s="354">
        <v>0</v>
      </c>
      <c r="DT266" s="354">
        <v>0</v>
      </c>
      <c r="DU266" s="354">
        <v>0</v>
      </c>
      <c r="DV266" s="354">
        <v>0</v>
      </c>
      <c r="DW266" s="543">
        <f t="shared" si="36"/>
        <v>0</v>
      </c>
      <c r="DX266" s="858">
        <f>DW266+DW267+DW268</f>
        <v>0</v>
      </c>
      <c r="DY266" s="704">
        <f>+DX266*1000000</f>
        <v>0</v>
      </c>
      <c r="DZ266" s="870">
        <f>+DY266-D266</f>
        <v>0</v>
      </c>
      <c r="EA266" s="873" t="str">
        <f>VLOOKUP(POA!$B266,'Detalle Plan de Adquisiciones'!$G$6:$AF$66,23,0)</f>
        <v>N/A</v>
      </c>
      <c r="EB266" s="859" t="str">
        <f>VLOOKUP(POA!$B266,'Detalle Plan de Adquisiciones'!$G$6:$AF$66,25,0)</f>
        <v>N/A</v>
      </c>
      <c r="EC266" s="859" t="e">
        <f>EB266+30</f>
        <v>#VALUE!</v>
      </c>
      <c r="ED266" s="859" t="e">
        <f>CONCATENATE(MONTH(EA266),"-",YEAR(EA266))</f>
        <v>#VALUE!</v>
      </c>
      <c r="EE266" s="859" t="e">
        <f>CONCATENATE(MONTH(EB266),"-",YEAR(EB266))</f>
        <v>#VALUE!</v>
      </c>
      <c r="EF266" s="861" t="e">
        <f>CONCATENATE(MONTH(EC266),"-",YEAR(EC266))</f>
        <v>#VALUE!</v>
      </c>
      <c r="EG266" s="1105" t="e">
        <f>+YEAR(EA266)</f>
        <v>#VALUE!</v>
      </c>
      <c r="EI266" s="858">
        <f>+DW266+DW267+DW268</f>
        <v>0</v>
      </c>
      <c r="EJ266" s="877">
        <f>+D266/1000000-EI266</f>
        <v>0</v>
      </c>
      <c r="ER266" s="497"/>
    </row>
    <row r="267" spans="1:148" s="278" customFormat="1" outlineLevel="2" x14ac:dyDescent="0.2">
      <c r="A267" s="929"/>
      <c r="B267" s="886"/>
      <c r="C267" s="903"/>
      <c r="D267" s="864"/>
      <c r="E267" s="867"/>
      <c r="F267" s="311" t="s">
        <v>210</v>
      </c>
      <c r="G267" s="363">
        <v>0</v>
      </c>
      <c r="H267" s="363">
        <v>0</v>
      </c>
      <c r="I267" s="363">
        <v>0</v>
      </c>
      <c r="J267" s="363">
        <v>0</v>
      </c>
      <c r="K267" s="363">
        <v>0</v>
      </c>
      <c r="L267" s="363">
        <v>0</v>
      </c>
      <c r="M267" s="363">
        <v>0</v>
      </c>
      <c r="N267" s="363">
        <v>0</v>
      </c>
      <c r="O267" s="363">
        <v>0</v>
      </c>
      <c r="P267" s="363">
        <v>0</v>
      </c>
      <c r="Q267" s="363">
        <v>0</v>
      </c>
      <c r="R267" s="363">
        <v>0</v>
      </c>
      <c r="S267" s="363">
        <v>0</v>
      </c>
      <c r="T267" s="363">
        <v>0</v>
      </c>
      <c r="U267" s="363">
        <v>0</v>
      </c>
      <c r="V267" s="363">
        <v>0</v>
      </c>
      <c r="W267" s="363">
        <v>0</v>
      </c>
      <c r="X267" s="363">
        <v>0</v>
      </c>
      <c r="Y267" s="363">
        <v>0</v>
      </c>
      <c r="Z267" s="363">
        <v>0</v>
      </c>
      <c r="AA267" s="363">
        <v>0</v>
      </c>
      <c r="AB267" s="363">
        <v>0</v>
      </c>
      <c r="AC267" s="363">
        <v>0</v>
      </c>
      <c r="AD267" s="363">
        <v>0</v>
      </c>
      <c r="AE267" s="363">
        <v>0</v>
      </c>
      <c r="AF267" s="363">
        <v>0</v>
      </c>
      <c r="AG267" s="363">
        <v>0</v>
      </c>
      <c r="AH267" s="363">
        <v>0</v>
      </c>
      <c r="AI267" s="363">
        <v>0</v>
      </c>
      <c r="AJ267" s="363">
        <v>0</v>
      </c>
      <c r="AK267" s="363">
        <v>0</v>
      </c>
      <c r="AL267" s="363">
        <v>0</v>
      </c>
      <c r="AM267" s="363">
        <v>0</v>
      </c>
      <c r="AN267" s="363">
        <v>0</v>
      </c>
      <c r="AO267" s="363">
        <v>0</v>
      </c>
      <c r="AP267" s="363">
        <v>0</v>
      </c>
      <c r="AQ267" s="363">
        <v>0</v>
      </c>
      <c r="AR267" s="363">
        <v>0</v>
      </c>
      <c r="AS267" s="363">
        <v>0</v>
      </c>
      <c r="AT267" s="363">
        <v>0</v>
      </c>
      <c r="AU267" s="363">
        <v>0</v>
      </c>
      <c r="AV267" s="363">
        <v>0</v>
      </c>
      <c r="AW267" s="363">
        <v>0</v>
      </c>
      <c r="AX267" s="363">
        <v>0</v>
      </c>
      <c r="AY267" s="363">
        <v>0</v>
      </c>
      <c r="AZ267" s="363">
        <v>0</v>
      </c>
      <c r="BA267" s="363">
        <v>0</v>
      </c>
      <c r="BB267" s="363">
        <v>0</v>
      </c>
      <c r="BC267" s="363">
        <v>0</v>
      </c>
      <c r="BD267" s="363">
        <v>0</v>
      </c>
      <c r="BE267" s="363">
        <v>0</v>
      </c>
      <c r="BF267" s="363">
        <v>0</v>
      </c>
      <c r="BG267" s="363">
        <v>0</v>
      </c>
      <c r="BH267" s="363">
        <v>0</v>
      </c>
      <c r="BI267" s="363">
        <v>0</v>
      </c>
      <c r="BJ267" s="363">
        <v>0</v>
      </c>
      <c r="BK267" s="363">
        <v>0</v>
      </c>
      <c r="BL267" s="363">
        <v>0</v>
      </c>
      <c r="BM267" s="363">
        <v>0</v>
      </c>
      <c r="BN267" s="363">
        <v>0</v>
      </c>
      <c r="BO267" s="363">
        <v>0</v>
      </c>
      <c r="BP267" s="363">
        <v>0</v>
      </c>
      <c r="BQ267" s="363">
        <v>0</v>
      </c>
      <c r="BR267" s="363">
        <v>0</v>
      </c>
      <c r="BS267" s="363">
        <v>0</v>
      </c>
      <c r="BT267" s="363">
        <v>0</v>
      </c>
      <c r="BU267" s="363">
        <v>0</v>
      </c>
      <c r="BV267" s="363">
        <v>0</v>
      </c>
      <c r="BW267" s="363">
        <v>0</v>
      </c>
      <c r="BX267" s="363">
        <v>0</v>
      </c>
      <c r="BY267" s="363">
        <v>0</v>
      </c>
      <c r="BZ267" s="363">
        <v>0</v>
      </c>
      <c r="CA267" s="363">
        <v>0</v>
      </c>
      <c r="CB267" s="363">
        <v>0</v>
      </c>
      <c r="CC267" s="363">
        <v>0</v>
      </c>
      <c r="CD267" s="363">
        <v>0</v>
      </c>
      <c r="CE267" s="363">
        <v>0</v>
      </c>
      <c r="CF267" s="363">
        <v>0</v>
      </c>
      <c r="CG267" s="363">
        <v>0</v>
      </c>
      <c r="CH267" s="363">
        <v>0</v>
      </c>
      <c r="CI267" s="363">
        <v>0</v>
      </c>
      <c r="CJ267" s="363">
        <v>0</v>
      </c>
      <c r="CK267" s="363">
        <v>0</v>
      </c>
      <c r="CL267" s="363">
        <v>0</v>
      </c>
      <c r="CM267" s="363">
        <v>0</v>
      </c>
      <c r="CN267" s="363">
        <v>0</v>
      </c>
      <c r="CO267" s="363">
        <v>0</v>
      </c>
      <c r="CP267" s="363">
        <v>0</v>
      </c>
      <c r="CQ267" s="363">
        <v>0</v>
      </c>
      <c r="CR267" s="363">
        <v>0</v>
      </c>
      <c r="CS267" s="363">
        <v>0</v>
      </c>
      <c r="CT267" s="363">
        <v>0</v>
      </c>
      <c r="CU267" s="363">
        <v>0</v>
      </c>
      <c r="CV267" s="363">
        <v>0</v>
      </c>
      <c r="CW267" s="363">
        <v>0</v>
      </c>
      <c r="CX267" s="363">
        <v>0</v>
      </c>
      <c r="CY267" s="363">
        <v>0</v>
      </c>
      <c r="CZ267" s="363">
        <v>0</v>
      </c>
      <c r="DA267" s="363">
        <v>0</v>
      </c>
      <c r="DB267" s="363">
        <v>0</v>
      </c>
      <c r="DC267" s="363">
        <v>0</v>
      </c>
      <c r="DD267" s="363">
        <v>0</v>
      </c>
      <c r="DE267" s="363">
        <v>0</v>
      </c>
      <c r="DF267" s="363">
        <v>0</v>
      </c>
      <c r="DG267" s="363">
        <v>0</v>
      </c>
      <c r="DH267" s="363">
        <v>0</v>
      </c>
      <c r="DI267" s="363">
        <v>0</v>
      </c>
      <c r="DJ267" s="363">
        <v>0</v>
      </c>
      <c r="DK267" s="363">
        <v>0</v>
      </c>
      <c r="DL267" s="363">
        <v>0</v>
      </c>
      <c r="DM267" s="363">
        <v>0</v>
      </c>
      <c r="DN267" s="363">
        <v>0</v>
      </c>
      <c r="DO267" s="363">
        <v>0</v>
      </c>
      <c r="DP267" s="363">
        <v>0</v>
      </c>
      <c r="DQ267" s="363">
        <v>0</v>
      </c>
      <c r="DR267" s="363">
        <v>0</v>
      </c>
      <c r="DS267" s="363">
        <v>0</v>
      </c>
      <c r="DT267" s="363">
        <v>0</v>
      </c>
      <c r="DU267" s="363">
        <v>0</v>
      </c>
      <c r="DV267" s="363">
        <v>0</v>
      </c>
      <c r="DW267" s="544">
        <f t="shared" si="36"/>
        <v>0</v>
      </c>
      <c r="DX267" s="858"/>
      <c r="DY267" s="705"/>
      <c r="DZ267" s="871"/>
      <c r="EA267" s="873"/>
      <c r="EB267" s="859"/>
      <c r="EC267" s="859"/>
      <c r="ED267" s="859"/>
      <c r="EE267" s="859"/>
      <c r="EF267" s="861"/>
      <c r="EG267" s="1106"/>
      <c r="EI267" s="858"/>
      <c r="EJ267" s="877"/>
      <c r="ER267" s="497"/>
    </row>
    <row r="268" spans="1:148" s="278" customFormat="1" ht="12.75" outlineLevel="2" thickBot="1" x14ac:dyDescent="0.25">
      <c r="A268" s="930"/>
      <c r="B268" s="887"/>
      <c r="C268" s="904"/>
      <c r="D268" s="865"/>
      <c r="E268" s="868"/>
      <c r="F268" s="315" t="s">
        <v>211</v>
      </c>
      <c r="G268" s="364">
        <v>0</v>
      </c>
      <c r="H268" s="364">
        <v>0</v>
      </c>
      <c r="I268" s="364">
        <v>0</v>
      </c>
      <c r="J268" s="364">
        <v>0</v>
      </c>
      <c r="K268" s="364">
        <v>0</v>
      </c>
      <c r="L268" s="364">
        <v>0</v>
      </c>
      <c r="M268" s="364">
        <v>0</v>
      </c>
      <c r="N268" s="364">
        <v>0</v>
      </c>
      <c r="O268" s="364">
        <v>0</v>
      </c>
      <c r="P268" s="364">
        <v>0</v>
      </c>
      <c r="Q268" s="364">
        <v>0</v>
      </c>
      <c r="R268" s="364">
        <v>0</v>
      </c>
      <c r="S268" s="364">
        <v>0</v>
      </c>
      <c r="T268" s="364">
        <v>0</v>
      </c>
      <c r="U268" s="364">
        <v>0</v>
      </c>
      <c r="V268" s="364">
        <v>0</v>
      </c>
      <c r="W268" s="364">
        <v>0</v>
      </c>
      <c r="X268" s="364">
        <v>0</v>
      </c>
      <c r="Y268" s="364">
        <v>0</v>
      </c>
      <c r="Z268" s="364">
        <v>0</v>
      </c>
      <c r="AA268" s="364">
        <v>0</v>
      </c>
      <c r="AB268" s="364">
        <v>0</v>
      </c>
      <c r="AC268" s="364">
        <v>0</v>
      </c>
      <c r="AD268" s="364">
        <v>0</v>
      </c>
      <c r="AE268" s="364">
        <v>0</v>
      </c>
      <c r="AF268" s="364">
        <v>0</v>
      </c>
      <c r="AG268" s="364">
        <v>0</v>
      </c>
      <c r="AH268" s="364">
        <v>0</v>
      </c>
      <c r="AI268" s="364">
        <v>0</v>
      </c>
      <c r="AJ268" s="364">
        <v>0</v>
      </c>
      <c r="AK268" s="364">
        <v>0</v>
      </c>
      <c r="AL268" s="364">
        <v>0</v>
      </c>
      <c r="AM268" s="364">
        <v>0</v>
      </c>
      <c r="AN268" s="364">
        <v>0</v>
      </c>
      <c r="AO268" s="364">
        <v>0</v>
      </c>
      <c r="AP268" s="364">
        <v>0</v>
      </c>
      <c r="AQ268" s="364">
        <v>0</v>
      </c>
      <c r="AR268" s="364">
        <v>0</v>
      </c>
      <c r="AS268" s="364">
        <v>0</v>
      </c>
      <c r="AT268" s="364">
        <v>0</v>
      </c>
      <c r="AU268" s="364">
        <v>0</v>
      </c>
      <c r="AV268" s="364">
        <v>0</v>
      </c>
      <c r="AW268" s="364">
        <v>0</v>
      </c>
      <c r="AX268" s="364">
        <v>0</v>
      </c>
      <c r="AY268" s="364">
        <v>0</v>
      </c>
      <c r="AZ268" s="364">
        <v>0</v>
      </c>
      <c r="BA268" s="364">
        <v>0</v>
      </c>
      <c r="BB268" s="364">
        <v>0</v>
      </c>
      <c r="BC268" s="363">
        <v>0</v>
      </c>
      <c r="BD268" s="363">
        <v>0</v>
      </c>
      <c r="BE268" s="363">
        <v>0</v>
      </c>
      <c r="BF268" s="363">
        <v>0</v>
      </c>
      <c r="BG268" s="363">
        <v>0</v>
      </c>
      <c r="BH268" s="363">
        <v>0</v>
      </c>
      <c r="BI268" s="363">
        <v>0</v>
      </c>
      <c r="BJ268" s="363">
        <v>0</v>
      </c>
      <c r="BK268" s="363">
        <v>0</v>
      </c>
      <c r="BL268" s="363">
        <v>0</v>
      </c>
      <c r="BM268" s="363">
        <v>0</v>
      </c>
      <c r="BN268" s="363">
        <v>0</v>
      </c>
      <c r="BO268" s="363">
        <v>0</v>
      </c>
      <c r="BP268" s="363">
        <v>0</v>
      </c>
      <c r="BQ268" s="363">
        <v>0</v>
      </c>
      <c r="BR268" s="363">
        <v>0</v>
      </c>
      <c r="BS268" s="363">
        <v>0</v>
      </c>
      <c r="BT268" s="363">
        <v>0</v>
      </c>
      <c r="BU268" s="363">
        <v>0</v>
      </c>
      <c r="BV268" s="363">
        <v>0</v>
      </c>
      <c r="BW268" s="363">
        <v>0</v>
      </c>
      <c r="BX268" s="363">
        <v>0</v>
      </c>
      <c r="BY268" s="363">
        <v>0</v>
      </c>
      <c r="BZ268" s="363">
        <v>0</v>
      </c>
      <c r="CA268" s="363">
        <v>0</v>
      </c>
      <c r="CB268" s="363">
        <v>0</v>
      </c>
      <c r="CC268" s="363">
        <v>0</v>
      </c>
      <c r="CD268" s="363">
        <v>0</v>
      </c>
      <c r="CE268" s="363">
        <v>0</v>
      </c>
      <c r="CF268" s="363">
        <v>0</v>
      </c>
      <c r="CG268" s="363">
        <v>0</v>
      </c>
      <c r="CH268" s="363">
        <v>0</v>
      </c>
      <c r="CI268" s="363">
        <v>0</v>
      </c>
      <c r="CJ268" s="363">
        <v>0</v>
      </c>
      <c r="CK268" s="363">
        <v>0</v>
      </c>
      <c r="CL268" s="363">
        <v>0</v>
      </c>
      <c r="CM268" s="363">
        <v>0</v>
      </c>
      <c r="CN268" s="363">
        <v>0</v>
      </c>
      <c r="CO268" s="363">
        <v>0</v>
      </c>
      <c r="CP268" s="363">
        <v>0</v>
      </c>
      <c r="CQ268" s="363">
        <v>0</v>
      </c>
      <c r="CR268" s="363">
        <v>0</v>
      </c>
      <c r="CS268" s="363">
        <v>0</v>
      </c>
      <c r="CT268" s="363">
        <v>0</v>
      </c>
      <c r="CU268" s="363">
        <v>0</v>
      </c>
      <c r="CV268" s="363">
        <v>0</v>
      </c>
      <c r="CW268" s="363">
        <v>0</v>
      </c>
      <c r="CX268" s="363">
        <v>0</v>
      </c>
      <c r="CY268" s="363">
        <v>0</v>
      </c>
      <c r="CZ268" s="363">
        <v>0</v>
      </c>
      <c r="DA268" s="363">
        <v>0</v>
      </c>
      <c r="DB268" s="363">
        <v>0</v>
      </c>
      <c r="DC268" s="363">
        <v>0</v>
      </c>
      <c r="DD268" s="363">
        <v>0</v>
      </c>
      <c r="DE268" s="363">
        <v>0</v>
      </c>
      <c r="DF268" s="363">
        <v>0</v>
      </c>
      <c r="DG268" s="363">
        <v>0</v>
      </c>
      <c r="DH268" s="363">
        <v>0</v>
      </c>
      <c r="DI268" s="363">
        <v>0</v>
      </c>
      <c r="DJ268" s="363">
        <v>0</v>
      </c>
      <c r="DK268" s="363">
        <v>0</v>
      </c>
      <c r="DL268" s="363">
        <v>0</v>
      </c>
      <c r="DM268" s="363">
        <v>0</v>
      </c>
      <c r="DN268" s="363">
        <v>0</v>
      </c>
      <c r="DO268" s="363">
        <v>0</v>
      </c>
      <c r="DP268" s="363">
        <v>0</v>
      </c>
      <c r="DQ268" s="363">
        <v>0</v>
      </c>
      <c r="DR268" s="364">
        <v>0</v>
      </c>
      <c r="DS268" s="364">
        <v>0</v>
      </c>
      <c r="DT268" s="364">
        <v>0</v>
      </c>
      <c r="DU268" s="364">
        <v>0</v>
      </c>
      <c r="DV268" s="364">
        <v>0</v>
      </c>
      <c r="DW268" s="545">
        <f t="shared" si="36"/>
        <v>0</v>
      </c>
      <c r="DX268" s="858"/>
      <c r="DY268" s="706"/>
      <c r="DZ268" s="872"/>
      <c r="EA268" s="873"/>
      <c r="EB268" s="859"/>
      <c r="EC268" s="859"/>
      <c r="ED268" s="859"/>
      <c r="EE268" s="859"/>
      <c r="EF268" s="861"/>
      <c r="EG268" s="1107"/>
      <c r="EI268" s="858"/>
      <c r="EJ268" s="877"/>
      <c r="ER268" s="497"/>
    </row>
    <row r="269" spans="1:148" s="278" customFormat="1" ht="24" outlineLevel="2" x14ac:dyDescent="0.2">
      <c r="A269" s="892"/>
      <c r="B269" s="897" t="s">
        <v>176</v>
      </c>
      <c r="C269" s="902">
        <v>5</v>
      </c>
      <c r="D269" s="863">
        <f>+IFERROR(VLOOKUP(B269,'Detalle Plan de Adquisiciones'!$G$6:$M$66,7,FALSE),0)</f>
        <v>0</v>
      </c>
      <c r="E269" s="866" t="str">
        <f>+'Detalle Plan de Adquisiciones'!F59</f>
        <v>PARADERO CON ESPACIO PUBLICO 01  K 3W X AV. CIRCUNV.</v>
      </c>
      <c r="F269" s="312" t="s">
        <v>410</v>
      </c>
      <c r="G269" s="354">
        <v>0</v>
      </c>
      <c r="H269" s="354">
        <v>0</v>
      </c>
      <c r="I269" s="354">
        <v>0</v>
      </c>
      <c r="J269" s="354">
        <v>0</v>
      </c>
      <c r="K269" s="354">
        <v>0</v>
      </c>
      <c r="L269" s="354">
        <v>0</v>
      </c>
      <c r="M269" s="354">
        <v>0</v>
      </c>
      <c r="N269" s="354">
        <v>0</v>
      </c>
      <c r="O269" s="354">
        <v>0</v>
      </c>
      <c r="P269" s="354">
        <v>0</v>
      </c>
      <c r="Q269" s="354">
        <v>0</v>
      </c>
      <c r="R269" s="354">
        <v>0</v>
      </c>
      <c r="S269" s="354">
        <v>0</v>
      </c>
      <c r="T269" s="354">
        <v>0</v>
      </c>
      <c r="U269" s="354">
        <v>0</v>
      </c>
      <c r="V269" s="354">
        <v>0</v>
      </c>
      <c r="W269" s="354">
        <v>0</v>
      </c>
      <c r="X269" s="354">
        <v>0</v>
      </c>
      <c r="Y269" s="354">
        <v>0</v>
      </c>
      <c r="Z269" s="354">
        <v>0</v>
      </c>
      <c r="AA269" s="354">
        <v>0</v>
      </c>
      <c r="AB269" s="354">
        <v>0</v>
      </c>
      <c r="AC269" s="354">
        <v>0</v>
      </c>
      <c r="AD269" s="354">
        <v>0</v>
      </c>
      <c r="AE269" s="354">
        <v>0</v>
      </c>
      <c r="AF269" s="354">
        <v>0</v>
      </c>
      <c r="AG269" s="354">
        <v>0</v>
      </c>
      <c r="AH269" s="354">
        <v>0</v>
      </c>
      <c r="AI269" s="354">
        <v>0</v>
      </c>
      <c r="AJ269" s="354">
        <v>0</v>
      </c>
      <c r="AK269" s="354">
        <v>0</v>
      </c>
      <c r="AL269" s="354">
        <v>0</v>
      </c>
      <c r="AM269" s="354">
        <v>0</v>
      </c>
      <c r="AN269" s="354">
        <v>0</v>
      </c>
      <c r="AO269" s="354">
        <v>0</v>
      </c>
      <c r="AP269" s="354">
        <v>0</v>
      </c>
      <c r="AQ269" s="354">
        <v>0</v>
      </c>
      <c r="AR269" s="354">
        <v>0</v>
      </c>
      <c r="AS269" s="354">
        <v>0</v>
      </c>
      <c r="AT269" s="354">
        <v>0</v>
      </c>
      <c r="AU269" s="354">
        <v>0</v>
      </c>
      <c r="AV269" s="354">
        <v>0</v>
      </c>
      <c r="AW269" s="354">
        <v>0</v>
      </c>
      <c r="AX269" s="354">
        <v>0</v>
      </c>
      <c r="AY269" s="354">
        <v>0</v>
      </c>
      <c r="AZ269" s="354">
        <v>0</v>
      </c>
      <c r="BA269" s="354">
        <v>0</v>
      </c>
      <c r="BB269" s="354">
        <v>0</v>
      </c>
      <c r="BC269" s="363">
        <v>0</v>
      </c>
      <c r="BD269" s="363">
        <v>0</v>
      </c>
      <c r="BE269" s="363">
        <v>0</v>
      </c>
      <c r="BF269" s="363">
        <v>0</v>
      </c>
      <c r="BG269" s="363">
        <v>0</v>
      </c>
      <c r="BH269" s="363">
        <v>0</v>
      </c>
      <c r="BI269" s="363">
        <v>0</v>
      </c>
      <c r="BJ269" s="363">
        <v>0</v>
      </c>
      <c r="BK269" s="363">
        <v>0</v>
      </c>
      <c r="BL269" s="363">
        <v>0</v>
      </c>
      <c r="BM269" s="363">
        <v>0</v>
      </c>
      <c r="BN269" s="363">
        <v>0</v>
      </c>
      <c r="BO269" s="363">
        <v>0</v>
      </c>
      <c r="BP269" s="363">
        <v>0</v>
      </c>
      <c r="BQ269" s="363">
        <v>0</v>
      </c>
      <c r="BR269" s="363">
        <v>0</v>
      </c>
      <c r="BS269" s="363">
        <v>0</v>
      </c>
      <c r="BT269" s="363">
        <v>0</v>
      </c>
      <c r="BU269" s="363">
        <v>0</v>
      </c>
      <c r="BV269" s="363">
        <v>0</v>
      </c>
      <c r="BW269" s="363">
        <v>0</v>
      </c>
      <c r="BX269" s="363">
        <v>0</v>
      </c>
      <c r="BY269" s="363">
        <v>0</v>
      </c>
      <c r="BZ269" s="363">
        <v>0</v>
      </c>
      <c r="CA269" s="363">
        <v>0</v>
      </c>
      <c r="CB269" s="363">
        <v>0</v>
      </c>
      <c r="CC269" s="363">
        <v>0</v>
      </c>
      <c r="CD269" s="363">
        <v>0</v>
      </c>
      <c r="CE269" s="363">
        <v>0</v>
      </c>
      <c r="CF269" s="363">
        <v>0</v>
      </c>
      <c r="CG269" s="363">
        <v>0</v>
      </c>
      <c r="CH269" s="363">
        <v>0</v>
      </c>
      <c r="CI269" s="363">
        <v>0</v>
      </c>
      <c r="CJ269" s="363">
        <v>0</v>
      </c>
      <c r="CK269" s="363">
        <v>0</v>
      </c>
      <c r="CL269" s="363">
        <v>0</v>
      </c>
      <c r="CM269" s="363">
        <v>0</v>
      </c>
      <c r="CN269" s="363">
        <v>0</v>
      </c>
      <c r="CO269" s="363">
        <v>0</v>
      </c>
      <c r="CP269" s="363">
        <v>0</v>
      </c>
      <c r="CQ269" s="363">
        <v>0</v>
      </c>
      <c r="CR269" s="363">
        <v>0</v>
      </c>
      <c r="CS269" s="363">
        <v>0</v>
      </c>
      <c r="CT269" s="363">
        <v>0</v>
      </c>
      <c r="CU269" s="363">
        <v>0</v>
      </c>
      <c r="CV269" s="363">
        <v>0</v>
      </c>
      <c r="CW269" s="363">
        <v>0</v>
      </c>
      <c r="CX269" s="363">
        <v>0</v>
      </c>
      <c r="CY269" s="363">
        <v>0</v>
      </c>
      <c r="CZ269" s="363">
        <v>0</v>
      </c>
      <c r="DA269" s="363">
        <v>0</v>
      </c>
      <c r="DB269" s="363">
        <v>0</v>
      </c>
      <c r="DC269" s="363">
        <v>0</v>
      </c>
      <c r="DD269" s="363">
        <v>0</v>
      </c>
      <c r="DE269" s="363">
        <v>0</v>
      </c>
      <c r="DF269" s="363">
        <v>0</v>
      </c>
      <c r="DG269" s="363">
        <v>0</v>
      </c>
      <c r="DH269" s="363">
        <v>0</v>
      </c>
      <c r="DI269" s="363">
        <v>0</v>
      </c>
      <c r="DJ269" s="363">
        <v>0</v>
      </c>
      <c r="DK269" s="363">
        <v>0</v>
      </c>
      <c r="DL269" s="363">
        <v>0</v>
      </c>
      <c r="DM269" s="363">
        <v>0</v>
      </c>
      <c r="DN269" s="363">
        <v>0</v>
      </c>
      <c r="DO269" s="363">
        <v>0</v>
      </c>
      <c r="DP269" s="363">
        <v>0</v>
      </c>
      <c r="DQ269" s="363">
        <v>0</v>
      </c>
      <c r="DR269" s="354">
        <v>0</v>
      </c>
      <c r="DS269" s="354">
        <v>0</v>
      </c>
      <c r="DT269" s="354">
        <v>0</v>
      </c>
      <c r="DU269" s="354">
        <v>0</v>
      </c>
      <c r="DV269" s="354">
        <v>0</v>
      </c>
      <c r="DW269" s="543">
        <f t="shared" si="36"/>
        <v>0</v>
      </c>
      <c r="DX269" s="858">
        <f>DW269+DW270+DW271</f>
        <v>0</v>
      </c>
      <c r="DY269" s="704">
        <f>+DX269*1000000</f>
        <v>0</v>
      </c>
      <c r="DZ269" s="870">
        <f>+DY269-D269</f>
        <v>0</v>
      </c>
      <c r="EA269" s="873" t="str">
        <f>VLOOKUP(POA!$B269,'Detalle Plan de Adquisiciones'!$G$6:$AF$66,23,0)</f>
        <v>N/A</v>
      </c>
      <c r="EB269" s="859" t="str">
        <f>VLOOKUP(POA!$B269,'Detalle Plan de Adquisiciones'!$G$6:$AF$66,25,0)</f>
        <v>N/A</v>
      </c>
      <c r="EC269" s="859" t="e">
        <f>EB269+30</f>
        <v>#VALUE!</v>
      </c>
      <c r="ED269" s="859" t="e">
        <f>CONCATENATE(MONTH(EA269),"-",YEAR(EA269))</f>
        <v>#VALUE!</v>
      </c>
      <c r="EE269" s="859" t="e">
        <f>CONCATENATE(MONTH(EB269),"-",YEAR(EB269))</f>
        <v>#VALUE!</v>
      </c>
      <c r="EF269" s="861" t="e">
        <f>CONCATENATE(MONTH(EC269),"-",YEAR(EC269))</f>
        <v>#VALUE!</v>
      </c>
      <c r="EG269" s="1105" t="e">
        <f>+YEAR(EA269)</f>
        <v>#VALUE!</v>
      </c>
      <c r="EI269" s="858">
        <f>+DW269+DW270+DW271</f>
        <v>0</v>
      </c>
      <c r="EJ269" s="877">
        <f>+D269/1000000-EI269</f>
        <v>0</v>
      </c>
      <c r="ER269" s="497"/>
    </row>
    <row r="270" spans="1:148" s="278" customFormat="1" outlineLevel="2" x14ac:dyDescent="0.2">
      <c r="A270" s="893"/>
      <c r="B270" s="886"/>
      <c r="C270" s="903"/>
      <c r="D270" s="864"/>
      <c r="E270" s="867"/>
      <c r="F270" s="311" t="s">
        <v>210</v>
      </c>
      <c r="G270" s="363">
        <v>0</v>
      </c>
      <c r="H270" s="363">
        <v>0</v>
      </c>
      <c r="I270" s="363">
        <v>0</v>
      </c>
      <c r="J270" s="363">
        <v>0</v>
      </c>
      <c r="K270" s="363">
        <v>0</v>
      </c>
      <c r="L270" s="363">
        <v>0</v>
      </c>
      <c r="M270" s="363">
        <v>0</v>
      </c>
      <c r="N270" s="363">
        <v>0</v>
      </c>
      <c r="O270" s="363">
        <v>0</v>
      </c>
      <c r="P270" s="363">
        <v>0</v>
      </c>
      <c r="Q270" s="363">
        <v>0</v>
      </c>
      <c r="R270" s="363">
        <v>0</v>
      </c>
      <c r="S270" s="363">
        <v>0</v>
      </c>
      <c r="T270" s="363">
        <v>0</v>
      </c>
      <c r="U270" s="363">
        <v>0</v>
      </c>
      <c r="V270" s="363">
        <v>0</v>
      </c>
      <c r="W270" s="363">
        <v>0</v>
      </c>
      <c r="X270" s="363">
        <v>0</v>
      </c>
      <c r="Y270" s="363">
        <v>0</v>
      </c>
      <c r="Z270" s="363">
        <v>0</v>
      </c>
      <c r="AA270" s="363">
        <v>0</v>
      </c>
      <c r="AB270" s="363">
        <v>0</v>
      </c>
      <c r="AC270" s="363">
        <v>0</v>
      </c>
      <c r="AD270" s="363">
        <v>0</v>
      </c>
      <c r="AE270" s="363">
        <v>0</v>
      </c>
      <c r="AF270" s="363">
        <v>0</v>
      </c>
      <c r="AG270" s="363">
        <v>0</v>
      </c>
      <c r="AH270" s="363">
        <v>0</v>
      </c>
      <c r="AI270" s="363">
        <v>0</v>
      </c>
      <c r="AJ270" s="363">
        <v>0</v>
      </c>
      <c r="AK270" s="363">
        <v>0</v>
      </c>
      <c r="AL270" s="363">
        <v>0</v>
      </c>
      <c r="AM270" s="363">
        <v>0</v>
      </c>
      <c r="AN270" s="363">
        <v>0</v>
      </c>
      <c r="AO270" s="363">
        <v>0</v>
      </c>
      <c r="AP270" s="363">
        <v>0</v>
      </c>
      <c r="AQ270" s="363">
        <v>0</v>
      </c>
      <c r="AR270" s="363">
        <v>0</v>
      </c>
      <c r="AS270" s="363">
        <v>0</v>
      </c>
      <c r="AT270" s="363">
        <v>0</v>
      </c>
      <c r="AU270" s="363">
        <v>0</v>
      </c>
      <c r="AV270" s="363">
        <v>0</v>
      </c>
      <c r="AW270" s="363">
        <v>0</v>
      </c>
      <c r="AX270" s="363">
        <v>0</v>
      </c>
      <c r="AY270" s="363">
        <v>0</v>
      </c>
      <c r="AZ270" s="363">
        <v>0</v>
      </c>
      <c r="BA270" s="363">
        <v>0</v>
      </c>
      <c r="BB270" s="363">
        <v>0</v>
      </c>
      <c r="BC270" s="363">
        <v>0</v>
      </c>
      <c r="BD270" s="363">
        <v>0</v>
      </c>
      <c r="BE270" s="363">
        <v>0</v>
      </c>
      <c r="BF270" s="363">
        <v>0</v>
      </c>
      <c r="BG270" s="363">
        <v>0</v>
      </c>
      <c r="BH270" s="363">
        <v>0</v>
      </c>
      <c r="BI270" s="363">
        <v>0</v>
      </c>
      <c r="BJ270" s="363">
        <v>0</v>
      </c>
      <c r="BK270" s="363">
        <v>0</v>
      </c>
      <c r="BL270" s="363">
        <v>0</v>
      </c>
      <c r="BM270" s="363">
        <v>0</v>
      </c>
      <c r="BN270" s="363">
        <v>0</v>
      </c>
      <c r="BO270" s="363">
        <v>0</v>
      </c>
      <c r="BP270" s="363">
        <v>0</v>
      </c>
      <c r="BQ270" s="363">
        <v>0</v>
      </c>
      <c r="BR270" s="363">
        <v>0</v>
      </c>
      <c r="BS270" s="363">
        <v>0</v>
      </c>
      <c r="BT270" s="363">
        <v>0</v>
      </c>
      <c r="BU270" s="363">
        <v>0</v>
      </c>
      <c r="BV270" s="363">
        <v>0</v>
      </c>
      <c r="BW270" s="363">
        <v>0</v>
      </c>
      <c r="BX270" s="363">
        <v>0</v>
      </c>
      <c r="BY270" s="363">
        <v>0</v>
      </c>
      <c r="BZ270" s="363">
        <v>0</v>
      </c>
      <c r="CA270" s="363">
        <v>0</v>
      </c>
      <c r="CB270" s="363">
        <v>0</v>
      </c>
      <c r="CC270" s="363">
        <v>0</v>
      </c>
      <c r="CD270" s="363">
        <v>0</v>
      </c>
      <c r="CE270" s="363">
        <v>0</v>
      </c>
      <c r="CF270" s="363">
        <v>0</v>
      </c>
      <c r="CG270" s="363">
        <v>0</v>
      </c>
      <c r="CH270" s="363">
        <v>0</v>
      </c>
      <c r="CI270" s="363">
        <v>0</v>
      </c>
      <c r="CJ270" s="363">
        <v>0</v>
      </c>
      <c r="CK270" s="363">
        <v>0</v>
      </c>
      <c r="CL270" s="363">
        <v>0</v>
      </c>
      <c r="CM270" s="363">
        <v>0</v>
      </c>
      <c r="CN270" s="363">
        <v>0</v>
      </c>
      <c r="CO270" s="363">
        <v>0</v>
      </c>
      <c r="CP270" s="363">
        <v>0</v>
      </c>
      <c r="CQ270" s="363">
        <v>0</v>
      </c>
      <c r="CR270" s="363">
        <v>0</v>
      </c>
      <c r="CS270" s="363">
        <v>0</v>
      </c>
      <c r="CT270" s="363">
        <v>0</v>
      </c>
      <c r="CU270" s="363">
        <v>0</v>
      </c>
      <c r="CV270" s="363">
        <v>0</v>
      </c>
      <c r="CW270" s="363">
        <v>0</v>
      </c>
      <c r="CX270" s="363">
        <v>0</v>
      </c>
      <c r="CY270" s="363">
        <v>0</v>
      </c>
      <c r="CZ270" s="363">
        <v>0</v>
      </c>
      <c r="DA270" s="363">
        <v>0</v>
      </c>
      <c r="DB270" s="363">
        <v>0</v>
      </c>
      <c r="DC270" s="363">
        <v>0</v>
      </c>
      <c r="DD270" s="363">
        <v>0</v>
      </c>
      <c r="DE270" s="363">
        <v>0</v>
      </c>
      <c r="DF270" s="363">
        <v>0</v>
      </c>
      <c r="DG270" s="363">
        <v>0</v>
      </c>
      <c r="DH270" s="363">
        <v>0</v>
      </c>
      <c r="DI270" s="363">
        <v>0</v>
      </c>
      <c r="DJ270" s="363">
        <v>0</v>
      </c>
      <c r="DK270" s="363">
        <v>0</v>
      </c>
      <c r="DL270" s="363">
        <v>0</v>
      </c>
      <c r="DM270" s="363">
        <v>0</v>
      </c>
      <c r="DN270" s="363">
        <v>0</v>
      </c>
      <c r="DO270" s="363">
        <v>0</v>
      </c>
      <c r="DP270" s="363">
        <v>0</v>
      </c>
      <c r="DQ270" s="363">
        <v>0</v>
      </c>
      <c r="DR270" s="363">
        <v>0</v>
      </c>
      <c r="DS270" s="363">
        <v>0</v>
      </c>
      <c r="DT270" s="363">
        <v>0</v>
      </c>
      <c r="DU270" s="363">
        <v>0</v>
      </c>
      <c r="DV270" s="363">
        <v>0</v>
      </c>
      <c r="DW270" s="544">
        <f t="shared" si="36"/>
        <v>0</v>
      </c>
      <c r="DX270" s="858"/>
      <c r="DY270" s="705"/>
      <c r="DZ270" s="871"/>
      <c r="EA270" s="873"/>
      <c r="EB270" s="859"/>
      <c r="EC270" s="859"/>
      <c r="ED270" s="859"/>
      <c r="EE270" s="859"/>
      <c r="EF270" s="861"/>
      <c r="EG270" s="1106"/>
      <c r="EI270" s="858"/>
      <c r="EJ270" s="877"/>
      <c r="ER270" s="497"/>
    </row>
    <row r="271" spans="1:148" s="278" customFormat="1" ht="12.75" outlineLevel="2" thickBot="1" x14ac:dyDescent="0.25">
      <c r="A271" s="894"/>
      <c r="B271" s="887"/>
      <c r="C271" s="904"/>
      <c r="D271" s="865"/>
      <c r="E271" s="868"/>
      <c r="F271" s="315" t="s">
        <v>211</v>
      </c>
      <c r="G271" s="364">
        <v>0</v>
      </c>
      <c r="H271" s="364">
        <v>0</v>
      </c>
      <c r="I271" s="364">
        <v>0</v>
      </c>
      <c r="J271" s="364">
        <v>0</v>
      </c>
      <c r="K271" s="364">
        <v>0</v>
      </c>
      <c r="L271" s="364">
        <v>0</v>
      </c>
      <c r="M271" s="364">
        <v>0</v>
      </c>
      <c r="N271" s="364">
        <v>0</v>
      </c>
      <c r="O271" s="364">
        <v>0</v>
      </c>
      <c r="P271" s="364">
        <v>0</v>
      </c>
      <c r="Q271" s="364">
        <v>0</v>
      </c>
      <c r="R271" s="364">
        <v>0</v>
      </c>
      <c r="S271" s="364">
        <v>0</v>
      </c>
      <c r="T271" s="364">
        <v>0</v>
      </c>
      <c r="U271" s="364">
        <v>0</v>
      </c>
      <c r="V271" s="364">
        <v>0</v>
      </c>
      <c r="W271" s="364">
        <v>0</v>
      </c>
      <c r="X271" s="364">
        <v>0</v>
      </c>
      <c r="Y271" s="364">
        <v>0</v>
      </c>
      <c r="Z271" s="364">
        <v>0</v>
      </c>
      <c r="AA271" s="364">
        <v>0</v>
      </c>
      <c r="AB271" s="364">
        <v>0</v>
      </c>
      <c r="AC271" s="364">
        <v>0</v>
      </c>
      <c r="AD271" s="364">
        <v>0</v>
      </c>
      <c r="AE271" s="364">
        <v>0</v>
      </c>
      <c r="AF271" s="364">
        <v>0</v>
      </c>
      <c r="AG271" s="364">
        <v>0</v>
      </c>
      <c r="AH271" s="364">
        <v>0</v>
      </c>
      <c r="AI271" s="364">
        <v>0</v>
      </c>
      <c r="AJ271" s="364">
        <v>0</v>
      </c>
      <c r="AK271" s="364">
        <v>0</v>
      </c>
      <c r="AL271" s="364">
        <v>0</v>
      </c>
      <c r="AM271" s="364">
        <v>0</v>
      </c>
      <c r="AN271" s="364">
        <v>0</v>
      </c>
      <c r="AO271" s="364">
        <v>0</v>
      </c>
      <c r="AP271" s="364">
        <v>0</v>
      </c>
      <c r="AQ271" s="364">
        <v>0</v>
      </c>
      <c r="AR271" s="364">
        <v>0</v>
      </c>
      <c r="AS271" s="364">
        <v>0</v>
      </c>
      <c r="AT271" s="364">
        <v>0</v>
      </c>
      <c r="AU271" s="364">
        <v>0</v>
      </c>
      <c r="AV271" s="364">
        <v>0</v>
      </c>
      <c r="AW271" s="364">
        <v>0</v>
      </c>
      <c r="AX271" s="364">
        <v>0</v>
      </c>
      <c r="AY271" s="364">
        <v>0</v>
      </c>
      <c r="AZ271" s="364">
        <v>0</v>
      </c>
      <c r="BA271" s="364">
        <v>0</v>
      </c>
      <c r="BB271" s="364">
        <v>0</v>
      </c>
      <c r="BC271" s="363">
        <v>0</v>
      </c>
      <c r="BD271" s="363">
        <v>0</v>
      </c>
      <c r="BE271" s="363">
        <v>0</v>
      </c>
      <c r="BF271" s="363">
        <v>0</v>
      </c>
      <c r="BG271" s="363">
        <v>0</v>
      </c>
      <c r="BH271" s="363">
        <v>0</v>
      </c>
      <c r="BI271" s="363">
        <v>0</v>
      </c>
      <c r="BJ271" s="363">
        <v>0</v>
      </c>
      <c r="BK271" s="363">
        <v>0</v>
      </c>
      <c r="BL271" s="363">
        <v>0</v>
      </c>
      <c r="BM271" s="363">
        <v>0</v>
      </c>
      <c r="BN271" s="363">
        <v>0</v>
      </c>
      <c r="BO271" s="363">
        <v>0</v>
      </c>
      <c r="BP271" s="363">
        <v>0</v>
      </c>
      <c r="BQ271" s="363">
        <v>0</v>
      </c>
      <c r="BR271" s="363">
        <v>0</v>
      </c>
      <c r="BS271" s="363">
        <v>0</v>
      </c>
      <c r="BT271" s="363">
        <v>0</v>
      </c>
      <c r="BU271" s="363">
        <v>0</v>
      </c>
      <c r="BV271" s="363">
        <v>0</v>
      </c>
      <c r="BW271" s="363">
        <v>0</v>
      </c>
      <c r="BX271" s="363">
        <v>0</v>
      </c>
      <c r="BY271" s="363">
        <v>0</v>
      </c>
      <c r="BZ271" s="363">
        <v>0</v>
      </c>
      <c r="CA271" s="363">
        <v>0</v>
      </c>
      <c r="CB271" s="363">
        <v>0</v>
      </c>
      <c r="CC271" s="363">
        <v>0</v>
      </c>
      <c r="CD271" s="363">
        <v>0</v>
      </c>
      <c r="CE271" s="363">
        <v>0</v>
      </c>
      <c r="CF271" s="363">
        <v>0</v>
      </c>
      <c r="CG271" s="363">
        <v>0</v>
      </c>
      <c r="CH271" s="363">
        <v>0</v>
      </c>
      <c r="CI271" s="363">
        <v>0</v>
      </c>
      <c r="CJ271" s="363">
        <v>0</v>
      </c>
      <c r="CK271" s="363">
        <v>0</v>
      </c>
      <c r="CL271" s="363">
        <v>0</v>
      </c>
      <c r="CM271" s="363">
        <v>0</v>
      </c>
      <c r="CN271" s="363">
        <v>0</v>
      </c>
      <c r="CO271" s="363">
        <v>0</v>
      </c>
      <c r="CP271" s="363">
        <v>0</v>
      </c>
      <c r="CQ271" s="363">
        <v>0</v>
      </c>
      <c r="CR271" s="363">
        <v>0</v>
      </c>
      <c r="CS271" s="363">
        <v>0</v>
      </c>
      <c r="CT271" s="363">
        <v>0</v>
      </c>
      <c r="CU271" s="363">
        <v>0</v>
      </c>
      <c r="CV271" s="363">
        <v>0</v>
      </c>
      <c r="CW271" s="363">
        <v>0</v>
      </c>
      <c r="CX271" s="363">
        <v>0</v>
      </c>
      <c r="CY271" s="363">
        <v>0</v>
      </c>
      <c r="CZ271" s="363">
        <v>0</v>
      </c>
      <c r="DA271" s="363">
        <v>0</v>
      </c>
      <c r="DB271" s="363">
        <v>0</v>
      </c>
      <c r="DC271" s="363">
        <v>0</v>
      </c>
      <c r="DD271" s="363">
        <v>0</v>
      </c>
      <c r="DE271" s="363">
        <v>0</v>
      </c>
      <c r="DF271" s="363">
        <v>0</v>
      </c>
      <c r="DG271" s="363">
        <v>0</v>
      </c>
      <c r="DH271" s="363">
        <v>0</v>
      </c>
      <c r="DI271" s="363">
        <v>0</v>
      </c>
      <c r="DJ271" s="363">
        <v>0</v>
      </c>
      <c r="DK271" s="363">
        <v>0</v>
      </c>
      <c r="DL271" s="363">
        <v>0</v>
      </c>
      <c r="DM271" s="363">
        <v>0</v>
      </c>
      <c r="DN271" s="363">
        <v>0</v>
      </c>
      <c r="DO271" s="363">
        <v>0</v>
      </c>
      <c r="DP271" s="363">
        <v>0</v>
      </c>
      <c r="DQ271" s="363">
        <v>0</v>
      </c>
      <c r="DR271" s="364">
        <v>0</v>
      </c>
      <c r="DS271" s="364">
        <v>0</v>
      </c>
      <c r="DT271" s="364">
        <v>0</v>
      </c>
      <c r="DU271" s="364">
        <v>0</v>
      </c>
      <c r="DV271" s="364">
        <v>0</v>
      </c>
      <c r="DW271" s="545">
        <f t="shared" si="36"/>
        <v>0</v>
      </c>
      <c r="DX271" s="858"/>
      <c r="DY271" s="706"/>
      <c r="DZ271" s="872"/>
      <c r="EA271" s="873"/>
      <c r="EB271" s="859"/>
      <c r="EC271" s="859"/>
      <c r="ED271" s="859"/>
      <c r="EE271" s="859"/>
      <c r="EF271" s="861"/>
      <c r="EG271" s="1107"/>
      <c r="EI271" s="858"/>
      <c r="EJ271" s="877"/>
      <c r="ER271" s="497"/>
    </row>
    <row r="272" spans="1:148" s="278" customFormat="1" ht="24" outlineLevel="2" x14ac:dyDescent="0.2">
      <c r="A272" s="892"/>
      <c r="B272" s="897" t="s">
        <v>177</v>
      </c>
      <c r="C272" s="902">
        <v>5</v>
      </c>
      <c r="D272" s="863">
        <f>+IFERROR(VLOOKUP(B272,'Detalle Plan de Adquisiciones'!$G$6:$M$66,7,FALSE),0)</f>
        <v>0</v>
      </c>
      <c r="E272" s="866" t="str">
        <f>+'Detalle Plan de Adquisiciones'!F60</f>
        <v>PARADERO CON ESPACIO PUBLICO 02 AV. CIRCUNV. X C 29</v>
      </c>
      <c r="F272" s="312" t="s">
        <v>410</v>
      </c>
      <c r="G272" s="354">
        <v>0</v>
      </c>
      <c r="H272" s="354">
        <v>0</v>
      </c>
      <c r="I272" s="354">
        <v>0</v>
      </c>
      <c r="J272" s="354">
        <v>0</v>
      </c>
      <c r="K272" s="354">
        <v>0</v>
      </c>
      <c r="L272" s="354">
        <v>0</v>
      </c>
      <c r="M272" s="354">
        <v>0</v>
      </c>
      <c r="N272" s="354">
        <v>0</v>
      </c>
      <c r="O272" s="354">
        <v>0</v>
      </c>
      <c r="P272" s="354">
        <v>0</v>
      </c>
      <c r="Q272" s="354">
        <v>0</v>
      </c>
      <c r="R272" s="354">
        <v>0</v>
      </c>
      <c r="S272" s="354">
        <v>0</v>
      </c>
      <c r="T272" s="354">
        <v>0</v>
      </c>
      <c r="U272" s="354">
        <v>0</v>
      </c>
      <c r="V272" s="354">
        <v>0</v>
      </c>
      <c r="W272" s="354">
        <v>0</v>
      </c>
      <c r="X272" s="354">
        <v>0</v>
      </c>
      <c r="Y272" s="354">
        <v>0</v>
      </c>
      <c r="Z272" s="354">
        <v>0</v>
      </c>
      <c r="AA272" s="354">
        <v>0</v>
      </c>
      <c r="AB272" s="354">
        <v>0</v>
      </c>
      <c r="AC272" s="354">
        <v>0</v>
      </c>
      <c r="AD272" s="354">
        <v>0</v>
      </c>
      <c r="AE272" s="354">
        <v>0</v>
      </c>
      <c r="AF272" s="354">
        <v>0</v>
      </c>
      <c r="AG272" s="354">
        <v>0</v>
      </c>
      <c r="AH272" s="354">
        <v>0</v>
      </c>
      <c r="AI272" s="354">
        <v>0</v>
      </c>
      <c r="AJ272" s="354">
        <v>0</v>
      </c>
      <c r="AK272" s="354">
        <v>0</v>
      </c>
      <c r="AL272" s="354">
        <v>0</v>
      </c>
      <c r="AM272" s="354">
        <v>0</v>
      </c>
      <c r="AN272" s="354">
        <v>0</v>
      </c>
      <c r="AO272" s="354">
        <v>0</v>
      </c>
      <c r="AP272" s="354">
        <v>0</v>
      </c>
      <c r="AQ272" s="354">
        <v>0</v>
      </c>
      <c r="AR272" s="354">
        <v>0</v>
      </c>
      <c r="AS272" s="354">
        <v>0</v>
      </c>
      <c r="AT272" s="354">
        <v>0</v>
      </c>
      <c r="AU272" s="354">
        <v>0</v>
      </c>
      <c r="AV272" s="354">
        <v>0</v>
      </c>
      <c r="AW272" s="354">
        <v>0</v>
      </c>
      <c r="AX272" s="354">
        <v>0</v>
      </c>
      <c r="AY272" s="354">
        <v>0</v>
      </c>
      <c r="AZ272" s="354">
        <v>0</v>
      </c>
      <c r="BA272" s="354">
        <v>0</v>
      </c>
      <c r="BB272" s="354">
        <v>0</v>
      </c>
      <c r="BC272" s="363">
        <v>0</v>
      </c>
      <c r="BD272" s="363">
        <v>0</v>
      </c>
      <c r="BE272" s="363">
        <v>0</v>
      </c>
      <c r="BF272" s="363">
        <v>0</v>
      </c>
      <c r="BG272" s="363">
        <v>0</v>
      </c>
      <c r="BH272" s="363">
        <v>0</v>
      </c>
      <c r="BI272" s="363">
        <v>0</v>
      </c>
      <c r="BJ272" s="363">
        <v>0</v>
      </c>
      <c r="BK272" s="363">
        <v>0</v>
      </c>
      <c r="BL272" s="363">
        <v>0</v>
      </c>
      <c r="BM272" s="363">
        <v>0</v>
      </c>
      <c r="BN272" s="363">
        <v>0</v>
      </c>
      <c r="BO272" s="363">
        <v>0</v>
      </c>
      <c r="BP272" s="363">
        <v>0</v>
      </c>
      <c r="BQ272" s="363">
        <v>0</v>
      </c>
      <c r="BR272" s="363">
        <v>0</v>
      </c>
      <c r="BS272" s="363">
        <v>0</v>
      </c>
      <c r="BT272" s="363">
        <v>0</v>
      </c>
      <c r="BU272" s="363">
        <v>0</v>
      </c>
      <c r="BV272" s="363">
        <v>0</v>
      </c>
      <c r="BW272" s="363">
        <v>0</v>
      </c>
      <c r="BX272" s="363">
        <v>0</v>
      </c>
      <c r="BY272" s="363">
        <v>0</v>
      </c>
      <c r="BZ272" s="363">
        <v>0</v>
      </c>
      <c r="CA272" s="363">
        <v>0</v>
      </c>
      <c r="CB272" s="363">
        <v>0</v>
      </c>
      <c r="CC272" s="363">
        <v>0</v>
      </c>
      <c r="CD272" s="363">
        <v>0</v>
      </c>
      <c r="CE272" s="363">
        <v>0</v>
      </c>
      <c r="CF272" s="363">
        <v>0</v>
      </c>
      <c r="CG272" s="363">
        <v>0</v>
      </c>
      <c r="CH272" s="363">
        <v>0</v>
      </c>
      <c r="CI272" s="363">
        <v>0</v>
      </c>
      <c r="CJ272" s="363">
        <v>0</v>
      </c>
      <c r="CK272" s="363">
        <v>0</v>
      </c>
      <c r="CL272" s="363">
        <v>0</v>
      </c>
      <c r="CM272" s="363">
        <v>0</v>
      </c>
      <c r="CN272" s="363">
        <v>0</v>
      </c>
      <c r="CO272" s="363">
        <v>0</v>
      </c>
      <c r="CP272" s="363">
        <v>0</v>
      </c>
      <c r="CQ272" s="363">
        <v>0</v>
      </c>
      <c r="CR272" s="363">
        <v>0</v>
      </c>
      <c r="CS272" s="363">
        <v>0</v>
      </c>
      <c r="CT272" s="363">
        <v>0</v>
      </c>
      <c r="CU272" s="363">
        <v>0</v>
      </c>
      <c r="CV272" s="363">
        <v>0</v>
      </c>
      <c r="CW272" s="363">
        <v>0</v>
      </c>
      <c r="CX272" s="363">
        <v>0</v>
      </c>
      <c r="CY272" s="363">
        <v>0</v>
      </c>
      <c r="CZ272" s="363">
        <v>0</v>
      </c>
      <c r="DA272" s="363">
        <v>0</v>
      </c>
      <c r="DB272" s="363">
        <v>0</v>
      </c>
      <c r="DC272" s="363">
        <v>0</v>
      </c>
      <c r="DD272" s="363">
        <v>0</v>
      </c>
      <c r="DE272" s="363">
        <v>0</v>
      </c>
      <c r="DF272" s="363">
        <v>0</v>
      </c>
      <c r="DG272" s="363">
        <v>0</v>
      </c>
      <c r="DH272" s="363">
        <v>0</v>
      </c>
      <c r="DI272" s="363">
        <v>0</v>
      </c>
      <c r="DJ272" s="363">
        <v>0</v>
      </c>
      <c r="DK272" s="363">
        <v>0</v>
      </c>
      <c r="DL272" s="363">
        <v>0</v>
      </c>
      <c r="DM272" s="363">
        <v>0</v>
      </c>
      <c r="DN272" s="363">
        <v>0</v>
      </c>
      <c r="DO272" s="363">
        <v>0</v>
      </c>
      <c r="DP272" s="363">
        <v>0</v>
      </c>
      <c r="DQ272" s="363">
        <v>0</v>
      </c>
      <c r="DR272" s="354">
        <v>0</v>
      </c>
      <c r="DS272" s="354">
        <v>0</v>
      </c>
      <c r="DT272" s="354">
        <v>0</v>
      </c>
      <c r="DU272" s="354">
        <v>0</v>
      </c>
      <c r="DV272" s="354">
        <v>0</v>
      </c>
      <c r="DW272" s="543">
        <f t="shared" si="36"/>
        <v>0</v>
      </c>
      <c r="DX272" s="858">
        <f>DW272+DW273+DW274</f>
        <v>0</v>
      </c>
      <c r="DY272" s="704">
        <f>+DX272*1000000</f>
        <v>0</v>
      </c>
      <c r="DZ272" s="870">
        <f>+DY272-D272</f>
        <v>0</v>
      </c>
      <c r="EA272" s="873" t="str">
        <f>VLOOKUP(POA!$B272,'Detalle Plan de Adquisiciones'!$G$6:$AF$66,23,0)</f>
        <v>N/A</v>
      </c>
      <c r="EB272" s="859" t="str">
        <f>VLOOKUP(POA!$B272,'Detalle Plan de Adquisiciones'!$G$6:$AF$66,25,0)</f>
        <v>N/A</v>
      </c>
      <c r="EC272" s="859" t="e">
        <f>EB272+30</f>
        <v>#VALUE!</v>
      </c>
      <c r="ED272" s="859" t="e">
        <f>CONCATENATE(MONTH(EA272),"-",YEAR(EA272))</f>
        <v>#VALUE!</v>
      </c>
      <c r="EE272" s="859" t="e">
        <f>CONCATENATE(MONTH(EB272),"-",YEAR(EB272))</f>
        <v>#VALUE!</v>
      </c>
      <c r="EF272" s="861" t="e">
        <f>CONCATENATE(MONTH(EC272),"-",YEAR(EC272))</f>
        <v>#VALUE!</v>
      </c>
      <c r="EG272" s="1105" t="e">
        <f>+YEAR(EA272)</f>
        <v>#VALUE!</v>
      </c>
      <c r="EI272" s="858">
        <f>+DW272+DW273+DW274</f>
        <v>0</v>
      </c>
      <c r="EJ272" s="877">
        <f>+D272/1000000-EI272</f>
        <v>0</v>
      </c>
      <c r="ER272" s="497"/>
    </row>
    <row r="273" spans="1:148" s="278" customFormat="1" outlineLevel="2" x14ac:dyDescent="0.2">
      <c r="A273" s="893"/>
      <c r="B273" s="886"/>
      <c r="C273" s="903"/>
      <c r="D273" s="864"/>
      <c r="E273" s="867"/>
      <c r="F273" s="311" t="s">
        <v>210</v>
      </c>
      <c r="G273" s="363">
        <v>0</v>
      </c>
      <c r="H273" s="363">
        <v>0</v>
      </c>
      <c r="I273" s="363">
        <v>0</v>
      </c>
      <c r="J273" s="363">
        <v>0</v>
      </c>
      <c r="K273" s="363">
        <v>0</v>
      </c>
      <c r="L273" s="363">
        <v>0</v>
      </c>
      <c r="M273" s="363">
        <v>0</v>
      </c>
      <c r="N273" s="363">
        <v>0</v>
      </c>
      <c r="O273" s="363">
        <v>0</v>
      </c>
      <c r="P273" s="363">
        <v>0</v>
      </c>
      <c r="Q273" s="363">
        <v>0</v>
      </c>
      <c r="R273" s="363">
        <v>0</v>
      </c>
      <c r="S273" s="363">
        <v>0</v>
      </c>
      <c r="T273" s="363">
        <v>0</v>
      </c>
      <c r="U273" s="363">
        <v>0</v>
      </c>
      <c r="V273" s="363">
        <v>0</v>
      </c>
      <c r="W273" s="363">
        <v>0</v>
      </c>
      <c r="X273" s="363">
        <v>0</v>
      </c>
      <c r="Y273" s="363">
        <v>0</v>
      </c>
      <c r="Z273" s="363">
        <v>0</v>
      </c>
      <c r="AA273" s="363">
        <v>0</v>
      </c>
      <c r="AB273" s="363">
        <v>0</v>
      </c>
      <c r="AC273" s="363">
        <v>0</v>
      </c>
      <c r="AD273" s="363">
        <v>0</v>
      </c>
      <c r="AE273" s="363">
        <v>0</v>
      </c>
      <c r="AF273" s="363">
        <v>0</v>
      </c>
      <c r="AG273" s="363">
        <v>0</v>
      </c>
      <c r="AH273" s="363">
        <v>0</v>
      </c>
      <c r="AI273" s="363">
        <v>0</v>
      </c>
      <c r="AJ273" s="363">
        <v>0</v>
      </c>
      <c r="AK273" s="363">
        <v>0</v>
      </c>
      <c r="AL273" s="363">
        <v>0</v>
      </c>
      <c r="AM273" s="363">
        <v>0</v>
      </c>
      <c r="AN273" s="363">
        <v>0</v>
      </c>
      <c r="AO273" s="363">
        <v>0</v>
      </c>
      <c r="AP273" s="363">
        <v>0</v>
      </c>
      <c r="AQ273" s="363">
        <v>0</v>
      </c>
      <c r="AR273" s="363">
        <v>0</v>
      </c>
      <c r="AS273" s="363">
        <v>0</v>
      </c>
      <c r="AT273" s="363">
        <v>0</v>
      </c>
      <c r="AU273" s="363">
        <v>0</v>
      </c>
      <c r="AV273" s="363">
        <v>0</v>
      </c>
      <c r="AW273" s="363">
        <v>0</v>
      </c>
      <c r="AX273" s="363">
        <v>0</v>
      </c>
      <c r="AY273" s="363">
        <v>0</v>
      </c>
      <c r="AZ273" s="363">
        <v>0</v>
      </c>
      <c r="BA273" s="363">
        <v>0</v>
      </c>
      <c r="BB273" s="363">
        <v>0</v>
      </c>
      <c r="BC273" s="363">
        <v>0</v>
      </c>
      <c r="BD273" s="363">
        <v>0</v>
      </c>
      <c r="BE273" s="363">
        <v>0</v>
      </c>
      <c r="BF273" s="363">
        <v>0</v>
      </c>
      <c r="BG273" s="363">
        <v>0</v>
      </c>
      <c r="BH273" s="363">
        <v>0</v>
      </c>
      <c r="BI273" s="363">
        <v>0</v>
      </c>
      <c r="BJ273" s="363">
        <v>0</v>
      </c>
      <c r="BK273" s="363">
        <v>0</v>
      </c>
      <c r="BL273" s="363">
        <v>0</v>
      </c>
      <c r="BM273" s="363">
        <v>0</v>
      </c>
      <c r="BN273" s="363">
        <v>0</v>
      </c>
      <c r="BO273" s="363">
        <v>0</v>
      </c>
      <c r="BP273" s="363">
        <v>0</v>
      </c>
      <c r="BQ273" s="363">
        <v>0</v>
      </c>
      <c r="BR273" s="363">
        <v>0</v>
      </c>
      <c r="BS273" s="363">
        <v>0</v>
      </c>
      <c r="BT273" s="363">
        <v>0</v>
      </c>
      <c r="BU273" s="363">
        <v>0</v>
      </c>
      <c r="BV273" s="363">
        <v>0</v>
      </c>
      <c r="BW273" s="363">
        <v>0</v>
      </c>
      <c r="BX273" s="363">
        <v>0</v>
      </c>
      <c r="BY273" s="363">
        <v>0</v>
      </c>
      <c r="BZ273" s="363">
        <v>0</v>
      </c>
      <c r="CA273" s="363">
        <v>0</v>
      </c>
      <c r="CB273" s="363">
        <v>0</v>
      </c>
      <c r="CC273" s="363">
        <v>0</v>
      </c>
      <c r="CD273" s="363">
        <v>0</v>
      </c>
      <c r="CE273" s="363">
        <v>0</v>
      </c>
      <c r="CF273" s="363">
        <v>0</v>
      </c>
      <c r="CG273" s="363">
        <v>0</v>
      </c>
      <c r="CH273" s="363">
        <v>0</v>
      </c>
      <c r="CI273" s="363">
        <v>0</v>
      </c>
      <c r="CJ273" s="363">
        <v>0</v>
      </c>
      <c r="CK273" s="363">
        <v>0</v>
      </c>
      <c r="CL273" s="363">
        <v>0</v>
      </c>
      <c r="CM273" s="363">
        <v>0</v>
      </c>
      <c r="CN273" s="363">
        <v>0</v>
      </c>
      <c r="CO273" s="363">
        <v>0</v>
      </c>
      <c r="CP273" s="363">
        <v>0</v>
      </c>
      <c r="CQ273" s="363">
        <v>0</v>
      </c>
      <c r="CR273" s="363">
        <v>0</v>
      </c>
      <c r="CS273" s="363">
        <v>0</v>
      </c>
      <c r="CT273" s="363">
        <v>0</v>
      </c>
      <c r="CU273" s="363">
        <v>0</v>
      </c>
      <c r="CV273" s="363">
        <v>0</v>
      </c>
      <c r="CW273" s="363">
        <v>0</v>
      </c>
      <c r="CX273" s="363">
        <v>0</v>
      </c>
      <c r="CY273" s="363">
        <v>0</v>
      </c>
      <c r="CZ273" s="363">
        <v>0</v>
      </c>
      <c r="DA273" s="363">
        <v>0</v>
      </c>
      <c r="DB273" s="363">
        <v>0</v>
      </c>
      <c r="DC273" s="363">
        <v>0</v>
      </c>
      <c r="DD273" s="363">
        <v>0</v>
      </c>
      <c r="DE273" s="363">
        <v>0</v>
      </c>
      <c r="DF273" s="363">
        <v>0</v>
      </c>
      <c r="DG273" s="363">
        <v>0</v>
      </c>
      <c r="DH273" s="363">
        <v>0</v>
      </c>
      <c r="DI273" s="363">
        <v>0</v>
      </c>
      <c r="DJ273" s="363">
        <v>0</v>
      </c>
      <c r="DK273" s="363">
        <v>0</v>
      </c>
      <c r="DL273" s="363">
        <v>0</v>
      </c>
      <c r="DM273" s="363">
        <v>0</v>
      </c>
      <c r="DN273" s="363">
        <v>0</v>
      </c>
      <c r="DO273" s="363">
        <v>0</v>
      </c>
      <c r="DP273" s="363">
        <v>0</v>
      </c>
      <c r="DQ273" s="363">
        <v>0</v>
      </c>
      <c r="DR273" s="363">
        <v>0</v>
      </c>
      <c r="DS273" s="363">
        <v>0</v>
      </c>
      <c r="DT273" s="363">
        <v>0</v>
      </c>
      <c r="DU273" s="363">
        <v>0</v>
      </c>
      <c r="DV273" s="363">
        <v>0</v>
      </c>
      <c r="DW273" s="544">
        <f t="shared" si="36"/>
        <v>0</v>
      </c>
      <c r="DX273" s="858"/>
      <c r="DY273" s="705"/>
      <c r="DZ273" s="871"/>
      <c r="EA273" s="873"/>
      <c r="EB273" s="859"/>
      <c r="EC273" s="859"/>
      <c r="ED273" s="859"/>
      <c r="EE273" s="859"/>
      <c r="EF273" s="861"/>
      <c r="EG273" s="1106"/>
      <c r="EI273" s="858"/>
      <c r="EJ273" s="877"/>
      <c r="ER273" s="497"/>
    </row>
    <row r="274" spans="1:148" s="278" customFormat="1" ht="12.75" outlineLevel="2" thickBot="1" x14ac:dyDescent="0.25">
      <c r="A274" s="894"/>
      <c r="B274" s="887"/>
      <c r="C274" s="904"/>
      <c r="D274" s="865"/>
      <c r="E274" s="868"/>
      <c r="F274" s="315" t="s">
        <v>211</v>
      </c>
      <c r="G274" s="364">
        <v>0</v>
      </c>
      <c r="H274" s="364">
        <v>0</v>
      </c>
      <c r="I274" s="364">
        <v>0</v>
      </c>
      <c r="J274" s="364">
        <v>0</v>
      </c>
      <c r="K274" s="364">
        <v>0</v>
      </c>
      <c r="L274" s="364">
        <v>0</v>
      </c>
      <c r="M274" s="364">
        <v>0</v>
      </c>
      <c r="N274" s="364">
        <v>0</v>
      </c>
      <c r="O274" s="364">
        <v>0</v>
      </c>
      <c r="P274" s="364">
        <v>0</v>
      </c>
      <c r="Q274" s="364">
        <v>0</v>
      </c>
      <c r="R274" s="364">
        <v>0</v>
      </c>
      <c r="S274" s="364">
        <v>0</v>
      </c>
      <c r="T274" s="364">
        <v>0</v>
      </c>
      <c r="U274" s="364">
        <v>0</v>
      </c>
      <c r="V274" s="364">
        <v>0</v>
      </c>
      <c r="W274" s="364">
        <v>0</v>
      </c>
      <c r="X274" s="364">
        <v>0</v>
      </c>
      <c r="Y274" s="364">
        <v>0</v>
      </c>
      <c r="Z274" s="364">
        <v>0</v>
      </c>
      <c r="AA274" s="364">
        <v>0</v>
      </c>
      <c r="AB274" s="364">
        <v>0</v>
      </c>
      <c r="AC274" s="364">
        <v>0</v>
      </c>
      <c r="AD274" s="364">
        <v>0</v>
      </c>
      <c r="AE274" s="364">
        <v>0</v>
      </c>
      <c r="AF274" s="364">
        <v>0</v>
      </c>
      <c r="AG274" s="364">
        <v>0</v>
      </c>
      <c r="AH274" s="364">
        <v>0</v>
      </c>
      <c r="AI274" s="364">
        <v>0</v>
      </c>
      <c r="AJ274" s="364">
        <v>0</v>
      </c>
      <c r="AK274" s="364">
        <v>0</v>
      </c>
      <c r="AL274" s="364">
        <v>0</v>
      </c>
      <c r="AM274" s="364">
        <v>0</v>
      </c>
      <c r="AN274" s="364">
        <v>0</v>
      </c>
      <c r="AO274" s="364">
        <v>0</v>
      </c>
      <c r="AP274" s="364">
        <v>0</v>
      </c>
      <c r="AQ274" s="364">
        <v>0</v>
      </c>
      <c r="AR274" s="364">
        <v>0</v>
      </c>
      <c r="AS274" s="364">
        <v>0</v>
      </c>
      <c r="AT274" s="364">
        <v>0</v>
      </c>
      <c r="AU274" s="364">
        <v>0</v>
      </c>
      <c r="AV274" s="364">
        <v>0</v>
      </c>
      <c r="AW274" s="364">
        <v>0</v>
      </c>
      <c r="AX274" s="364">
        <v>0</v>
      </c>
      <c r="AY274" s="364">
        <v>0</v>
      </c>
      <c r="AZ274" s="364">
        <v>0</v>
      </c>
      <c r="BA274" s="364">
        <v>0</v>
      </c>
      <c r="BB274" s="364">
        <v>0</v>
      </c>
      <c r="BC274" s="363">
        <v>0</v>
      </c>
      <c r="BD274" s="363">
        <v>0</v>
      </c>
      <c r="BE274" s="363">
        <v>0</v>
      </c>
      <c r="BF274" s="363">
        <v>0</v>
      </c>
      <c r="BG274" s="363">
        <v>0</v>
      </c>
      <c r="BH274" s="363">
        <v>0</v>
      </c>
      <c r="BI274" s="363">
        <v>0</v>
      </c>
      <c r="BJ274" s="363">
        <v>0</v>
      </c>
      <c r="BK274" s="363">
        <v>0</v>
      </c>
      <c r="BL274" s="363">
        <v>0</v>
      </c>
      <c r="BM274" s="363">
        <v>0</v>
      </c>
      <c r="BN274" s="363">
        <v>0</v>
      </c>
      <c r="BO274" s="363">
        <v>0</v>
      </c>
      <c r="BP274" s="363">
        <v>0</v>
      </c>
      <c r="BQ274" s="363">
        <v>0</v>
      </c>
      <c r="BR274" s="363">
        <v>0</v>
      </c>
      <c r="BS274" s="363">
        <v>0</v>
      </c>
      <c r="BT274" s="363">
        <v>0</v>
      </c>
      <c r="BU274" s="363">
        <v>0</v>
      </c>
      <c r="BV274" s="363">
        <v>0</v>
      </c>
      <c r="BW274" s="363">
        <v>0</v>
      </c>
      <c r="BX274" s="363">
        <v>0</v>
      </c>
      <c r="BY274" s="363">
        <v>0</v>
      </c>
      <c r="BZ274" s="363">
        <v>0</v>
      </c>
      <c r="CA274" s="363">
        <v>0</v>
      </c>
      <c r="CB274" s="363">
        <v>0</v>
      </c>
      <c r="CC274" s="363">
        <v>0</v>
      </c>
      <c r="CD274" s="363">
        <v>0</v>
      </c>
      <c r="CE274" s="363">
        <v>0</v>
      </c>
      <c r="CF274" s="363">
        <v>0</v>
      </c>
      <c r="CG274" s="363">
        <v>0</v>
      </c>
      <c r="CH274" s="363">
        <v>0</v>
      </c>
      <c r="CI274" s="363">
        <v>0</v>
      </c>
      <c r="CJ274" s="363">
        <v>0</v>
      </c>
      <c r="CK274" s="363">
        <v>0</v>
      </c>
      <c r="CL274" s="363">
        <v>0</v>
      </c>
      <c r="CM274" s="363">
        <v>0</v>
      </c>
      <c r="CN274" s="363">
        <v>0</v>
      </c>
      <c r="CO274" s="363">
        <v>0</v>
      </c>
      <c r="CP274" s="363">
        <v>0</v>
      </c>
      <c r="CQ274" s="363">
        <v>0</v>
      </c>
      <c r="CR274" s="363">
        <v>0</v>
      </c>
      <c r="CS274" s="363">
        <v>0</v>
      </c>
      <c r="CT274" s="363">
        <v>0</v>
      </c>
      <c r="CU274" s="363">
        <v>0</v>
      </c>
      <c r="CV274" s="363">
        <v>0</v>
      </c>
      <c r="CW274" s="363">
        <v>0</v>
      </c>
      <c r="CX274" s="363">
        <v>0</v>
      </c>
      <c r="CY274" s="363">
        <v>0</v>
      </c>
      <c r="CZ274" s="363">
        <v>0</v>
      </c>
      <c r="DA274" s="363">
        <v>0</v>
      </c>
      <c r="DB274" s="363">
        <v>0</v>
      </c>
      <c r="DC274" s="363">
        <v>0</v>
      </c>
      <c r="DD274" s="363">
        <v>0</v>
      </c>
      <c r="DE274" s="363">
        <v>0</v>
      </c>
      <c r="DF274" s="363">
        <v>0</v>
      </c>
      <c r="DG274" s="363">
        <v>0</v>
      </c>
      <c r="DH274" s="363">
        <v>0</v>
      </c>
      <c r="DI274" s="363">
        <v>0</v>
      </c>
      <c r="DJ274" s="363">
        <v>0</v>
      </c>
      <c r="DK274" s="363">
        <v>0</v>
      </c>
      <c r="DL274" s="363">
        <v>0</v>
      </c>
      <c r="DM274" s="363">
        <v>0</v>
      </c>
      <c r="DN274" s="363">
        <v>0</v>
      </c>
      <c r="DO274" s="363">
        <v>0</v>
      </c>
      <c r="DP274" s="363">
        <v>0</v>
      </c>
      <c r="DQ274" s="363">
        <v>0</v>
      </c>
      <c r="DR274" s="364">
        <v>0</v>
      </c>
      <c r="DS274" s="364">
        <v>0</v>
      </c>
      <c r="DT274" s="364">
        <v>0</v>
      </c>
      <c r="DU274" s="364">
        <v>0</v>
      </c>
      <c r="DV274" s="364">
        <v>0</v>
      </c>
      <c r="DW274" s="545">
        <f t="shared" si="36"/>
        <v>0</v>
      </c>
      <c r="DX274" s="858"/>
      <c r="DY274" s="706"/>
      <c r="DZ274" s="872"/>
      <c r="EA274" s="873"/>
      <c r="EB274" s="859"/>
      <c r="EC274" s="859"/>
      <c r="ED274" s="859"/>
      <c r="EE274" s="859"/>
      <c r="EF274" s="861"/>
      <c r="EG274" s="1107"/>
      <c r="EI274" s="858"/>
      <c r="EJ274" s="877"/>
      <c r="ER274" s="497"/>
    </row>
    <row r="275" spans="1:148" s="278" customFormat="1" ht="24" outlineLevel="2" x14ac:dyDescent="0.2">
      <c r="A275" s="892"/>
      <c r="B275" s="897" t="s">
        <v>178</v>
      </c>
      <c r="C275" s="902">
        <v>5</v>
      </c>
      <c r="D275" s="863">
        <f>+IFERROR(VLOOKUP(B275,'Detalle Plan de Adquisiciones'!$G$6:$M$66,7,FALSE),0)</f>
        <v>0</v>
      </c>
      <c r="E275" s="866" t="str">
        <f>+'Detalle Plan de Adquisiciones'!F61</f>
        <v>PARADERO CON ESPACIO PUBLICO 04 AV. CIRCUNV. X K 2</v>
      </c>
      <c r="F275" s="312" t="s">
        <v>410</v>
      </c>
      <c r="G275" s="354">
        <v>0</v>
      </c>
      <c r="H275" s="354">
        <v>0</v>
      </c>
      <c r="I275" s="354">
        <v>0</v>
      </c>
      <c r="J275" s="354">
        <v>0</v>
      </c>
      <c r="K275" s="354">
        <v>0</v>
      </c>
      <c r="L275" s="354">
        <v>0</v>
      </c>
      <c r="M275" s="354">
        <v>0</v>
      </c>
      <c r="N275" s="354">
        <v>0</v>
      </c>
      <c r="O275" s="354">
        <v>0</v>
      </c>
      <c r="P275" s="354">
        <v>0</v>
      </c>
      <c r="Q275" s="354">
        <v>0</v>
      </c>
      <c r="R275" s="354">
        <v>0</v>
      </c>
      <c r="S275" s="354">
        <v>0</v>
      </c>
      <c r="T275" s="354">
        <v>0</v>
      </c>
      <c r="U275" s="354">
        <v>0</v>
      </c>
      <c r="V275" s="354">
        <v>0</v>
      </c>
      <c r="W275" s="354">
        <v>0</v>
      </c>
      <c r="X275" s="354">
        <v>0</v>
      </c>
      <c r="Y275" s="354">
        <v>0</v>
      </c>
      <c r="Z275" s="354">
        <v>0</v>
      </c>
      <c r="AA275" s="354">
        <v>0</v>
      </c>
      <c r="AB275" s="354">
        <v>0</v>
      </c>
      <c r="AC275" s="354">
        <v>0</v>
      </c>
      <c r="AD275" s="354">
        <v>0</v>
      </c>
      <c r="AE275" s="354">
        <v>0</v>
      </c>
      <c r="AF275" s="354">
        <v>0</v>
      </c>
      <c r="AG275" s="354">
        <v>0</v>
      </c>
      <c r="AH275" s="354">
        <v>0</v>
      </c>
      <c r="AI275" s="354">
        <v>0</v>
      </c>
      <c r="AJ275" s="354">
        <v>0</v>
      </c>
      <c r="AK275" s="354">
        <v>0</v>
      </c>
      <c r="AL275" s="354">
        <v>0</v>
      </c>
      <c r="AM275" s="354">
        <v>0</v>
      </c>
      <c r="AN275" s="354">
        <v>0</v>
      </c>
      <c r="AO275" s="354">
        <v>0</v>
      </c>
      <c r="AP275" s="354">
        <v>0</v>
      </c>
      <c r="AQ275" s="354">
        <v>0</v>
      </c>
      <c r="AR275" s="354">
        <v>0</v>
      </c>
      <c r="AS275" s="354">
        <v>0</v>
      </c>
      <c r="AT275" s="354">
        <v>0</v>
      </c>
      <c r="AU275" s="354">
        <v>0</v>
      </c>
      <c r="AV275" s="354">
        <v>0</v>
      </c>
      <c r="AW275" s="354">
        <v>0</v>
      </c>
      <c r="AX275" s="354">
        <v>0</v>
      </c>
      <c r="AY275" s="354">
        <v>0</v>
      </c>
      <c r="AZ275" s="354">
        <v>0</v>
      </c>
      <c r="BA275" s="354">
        <v>0</v>
      </c>
      <c r="BB275" s="354">
        <v>0</v>
      </c>
      <c r="BC275" s="363">
        <v>0</v>
      </c>
      <c r="BD275" s="363">
        <v>0</v>
      </c>
      <c r="BE275" s="363">
        <v>0</v>
      </c>
      <c r="BF275" s="363">
        <v>0</v>
      </c>
      <c r="BG275" s="363">
        <v>0</v>
      </c>
      <c r="BH275" s="363">
        <v>0</v>
      </c>
      <c r="BI275" s="363">
        <v>0</v>
      </c>
      <c r="BJ275" s="363">
        <v>0</v>
      </c>
      <c r="BK275" s="363">
        <v>0</v>
      </c>
      <c r="BL275" s="363">
        <v>0</v>
      </c>
      <c r="BM275" s="363">
        <v>0</v>
      </c>
      <c r="BN275" s="363">
        <v>0</v>
      </c>
      <c r="BO275" s="363">
        <v>0</v>
      </c>
      <c r="BP275" s="363">
        <v>0</v>
      </c>
      <c r="BQ275" s="363">
        <v>0</v>
      </c>
      <c r="BR275" s="363">
        <v>0</v>
      </c>
      <c r="BS275" s="363">
        <v>0</v>
      </c>
      <c r="BT275" s="363">
        <v>0</v>
      </c>
      <c r="BU275" s="363">
        <v>0</v>
      </c>
      <c r="BV275" s="363">
        <v>0</v>
      </c>
      <c r="BW275" s="363">
        <v>0</v>
      </c>
      <c r="BX275" s="363">
        <v>0</v>
      </c>
      <c r="BY275" s="363">
        <v>0</v>
      </c>
      <c r="BZ275" s="363">
        <v>0</v>
      </c>
      <c r="CA275" s="363">
        <v>0</v>
      </c>
      <c r="CB275" s="363">
        <v>0</v>
      </c>
      <c r="CC275" s="363">
        <v>0</v>
      </c>
      <c r="CD275" s="363">
        <v>0</v>
      </c>
      <c r="CE275" s="363">
        <v>0</v>
      </c>
      <c r="CF275" s="363">
        <v>0</v>
      </c>
      <c r="CG275" s="363">
        <v>0</v>
      </c>
      <c r="CH275" s="363">
        <v>0</v>
      </c>
      <c r="CI275" s="363">
        <v>0</v>
      </c>
      <c r="CJ275" s="363">
        <v>0</v>
      </c>
      <c r="CK275" s="363">
        <v>0</v>
      </c>
      <c r="CL275" s="363">
        <v>0</v>
      </c>
      <c r="CM275" s="363">
        <v>0</v>
      </c>
      <c r="CN275" s="363">
        <v>0</v>
      </c>
      <c r="CO275" s="363">
        <v>0</v>
      </c>
      <c r="CP275" s="363">
        <v>0</v>
      </c>
      <c r="CQ275" s="363">
        <v>0</v>
      </c>
      <c r="CR275" s="363">
        <v>0</v>
      </c>
      <c r="CS275" s="363">
        <v>0</v>
      </c>
      <c r="CT275" s="363">
        <v>0</v>
      </c>
      <c r="CU275" s="363">
        <v>0</v>
      </c>
      <c r="CV275" s="363">
        <v>0</v>
      </c>
      <c r="CW275" s="363">
        <v>0</v>
      </c>
      <c r="CX275" s="363">
        <v>0</v>
      </c>
      <c r="CY275" s="363">
        <v>0</v>
      </c>
      <c r="CZ275" s="363">
        <v>0</v>
      </c>
      <c r="DA275" s="363">
        <v>0</v>
      </c>
      <c r="DB275" s="363">
        <v>0</v>
      </c>
      <c r="DC275" s="363">
        <v>0</v>
      </c>
      <c r="DD275" s="363">
        <v>0</v>
      </c>
      <c r="DE275" s="363">
        <v>0</v>
      </c>
      <c r="DF275" s="363">
        <v>0</v>
      </c>
      <c r="DG275" s="363">
        <v>0</v>
      </c>
      <c r="DH275" s="363">
        <v>0</v>
      </c>
      <c r="DI275" s="363">
        <v>0</v>
      </c>
      <c r="DJ275" s="363">
        <v>0</v>
      </c>
      <c r="DK275" s="363">
        <v>0</v>
      </c>
      <c r="DL275" s="363">
        <v>0</v>
      </c>
      <c r="DM275" s="363">
        <v>0</v>
      </c>
      <c r="DN275" s="363">
        <v>0</v>
      </c>
      <c r="DO275" s="363">
        <v>0</v>
      </c>
      <c r="DP275" s="363">
        <v>0</v>
      </c>
      <c r="DQ275" s="363">
        <v>0</v>
      </c>
      <c r="DR275" s="354">
        <v>0</v>
      </c>
      <c r="DS275" s="354">
        <v>0</v>
      </c>
      <c r="DT275" s="354">
        <v>0</v>
      </c>
      <c r="DU275" s="354">
        <v>0</v>
      </c>
      <c r="DV275" s="354">
        <v>0</v>
      </c>
      <c r="DW275" s="543">
        <f t="shared" si="36"/>
        <v>0</v>
      </c>
      <c r="DX275" s="858">
        <f>DW275+DW276+DW277</f>
        <v>0</v>
      </c>
      <c r="DY275" s="704">
        <f>+DX275*1000000</f>
        <v>0</v>
      </c>
      <c r="DZ275" s="870">
        <f>+DY275-D275</f>
        <v>0</v>
      </c>
      <c r="EA275" s="873" t="str">
        <f>VLOOKUP(POA!$B275,'Detalle Plan de Adquisiciones'!$G$6:$AF$66,23,0)</f>
        <v>N/A</v>
      </c>
      <c r="EB275" s="859" t="str">
        <f>VLOOKUP(POA!$B275,'Detalle Plan de Adquisiciones'!$G$6:$AF$66,25,0)</f>
        <v>N/A</v>
      </c>
      <c r="EC275" s="859" t="e">
        <f>EB275+30</f>
        <v>#VALUE!</v>
      </c>
      <c r="ED275" s="859" t="e">
        <f>CONCATENATE(MONTH(EA275),"-",YEAR(EA275))</f>
        <v>#VALUE!</v>
      </c>
      <c r="EE275" s="859" t="e">
        <f>CONCATENATE(MONTH(EB275),"-",YEAR(EB275))</f>
        <v>#VALUE!</v>
      </c>
      <c r="EF275" s="861" t="e">
        <f>CONCATENATE(MONTH(EC275),"-",YEAR(EC275))</f>
        <v>#VALUE!</v>
      </c>
      <c r="EG275" s="1105" t="e">
        <f>+YEAR(EA275)</f>
        <v>#VALUE!</v>
      </c>
      <c r="EI275" s="858">
        <f>+DW275+DW276+DW277</f>
        <v>0</v>
      </c>
      <c r="EJ275" s="877">
        <f>+D275/1000000-EI275</f>
        <v>0</v>
      </c>
      <c r="ER275" s="497"/>
    </row>
    <row r="276" spans="1:148" s="278" customFormat="1" outlineLevel="2" x14ac:dyDescent="0.2">
      <c r="A276" s="893"/>
      <c r="B276" s="886"/>
      <c r="C276" s="903"/>
      <c r="D276" s="864"/>
      <c r="E276" s="867"/>
      <c r="F276" s="311" t="s">
        <v>210</v>
      </c>
      <c r="G276" s="363">
        <v>0</v>
      </c>
      <c r="H276" s="363">
        <v>0</v>
      </c>
      <c r="I276" s="363">
        <v>0</v>
      </c>
      <c r="J276" s="363">
        <v>0</v>
      </c>
      <c r="K276" s="363">
        <v>0</v>
      </c>
      <c r="L276" s="363">
        <v>0</v>
      </c>
      <c r="M276" s="363">
        <v>0</v>
      </c>
      <c r="N276" s="363">
        <v>0</v>
      </c>
      <c r="O276" s="363">
        <v>0</v>
      </c>
      <c r="P276" s="363">
        <v>0</v>
      </c>
      <c r="Q276" s="363">
        <v>0</v>
      </c>
      <c r="R276" s="363">
        <v>0</v>
      </c>
      <c r="S276" s="363">
        <v>0</v>
      </c>
      <c r="T276" s="363">
        <v>0</v>
      </c>
      <c r="U276" s="363">
        <v>0</v>
      </c>
      <c r="V276" s="363">
        <v>0</v>
      </c>
      <c r="W276" s="363">
        <v>0</v>
      </c>
      <c r="X276" s="363">
        <v>0</v>
      </c>
      <c r="Y276" s="363">
        <v>0</v>
      </c>
      <c r="Z276" s="363">
        <v>0</v>
      </c>
      <c r="AA276" s="363">
        <v>0</v>
      </c>
      <c r="AB276" s="363">
        <v>0</v>
      </c>
      <c r="AC276" s="363">
        <v>0</v>
      </c>
      <c r="AD276" s="363">
        <v>0</v>
      </c>
      <c r="AE276" s="363">
        <v>0</v>
      </c>
      <c r="AF276" s="363">
        <v>0</v>
      </c>
      <c r="AG276" s="363">
        <v>0</v>
      </c>
      <c r="AH276" s="363">
        <v>0</v>
      </c>
      <c r="AI276" s="363">
        <v>0</v>
      </c>
      <c r="AJ276" s="363">
        <v>0</v>
      </c>
      <c r="AK276" s="363">
        <v>0</v>
      </c>
      <c r="AL276" s="363">
        <v>0</v>
      </c>
      <c r="AM276" s="363">
        <v>0</v>
      </c>
      <c r="AN276" s="363">
        <v>0</v>
      </c>
      <c r="AO276" s="363">
        <v>0</v>
      </c>
      <c r="AP276" s="363">
        <v>0</v>
      </c>
      <c r="AQ276" s="363">
        <v>0</v>
      </c>
      <c r="AR276" s="363">
        <v>0</v>
      </c>
      <c r="AS276" s="363">
        <v>0</v>
      </c>
      <c r="AT276" s="363">
        <v>0</v>
      </c>
      <c r="AU276" s="363">
        <v>0</v>
      </c>
      <c r="AV276" s="363">
        <v>0</v>
      </c>
      <c r="AW276" s="363">
        <v>0</v>
      </c>
      <c r="AX276" s="363">
        <v>0</v>
      </c>
      <c r="AY276" s="363">
        <v>0</v>
      </c>
      <c r="AZ276" s="363">
        <v>0</v>
      </c>
      <c r="BA276" s="363">
        <v>0</v>
      </c>
      <c r="BB276" s="363">
        <v>0</v>
      </c>
      <c r="BC276" s="363">
        <v>0</v>
      </c>
      <c r="BD276" s="363">
        <v>0</v>
      </c>
      <c r="BE276" s="363">
        <v>0</v>
      </c>
      <c r="BF276" s="363">
        <v>0</v>
      </c>
      <c r="BG276" s="363">
        <v>0</v>
      </c>
      <c r="BH276" s="363">
        <v>0</v>
      </c>
      <c r="BI276" s="363">
        <v>0</v>
      </c>
      <c r="BJ276" s="363">
        <v>0</v>
      </c>
      <c r="BK276" s="363">
        <v>0</v>
      </c>
      <c r="BL276" s="363">
        <v>0</v>
      </c>
      <c r="BM276" s="363">
        <v>0</v>
      </c>
      <c r="BN276" s="363">
        <v>0</v>
      </c>
      <c r="BO276" s="363">
        <v>0</v>
      </c>
      <c r="BP276" s="363">
        <v>0</v>
      </c>
      <c r="BQ276" s="363">
        <v>0</v>
      </c>
      <c r="BR276" s="363">
        <v>0</v>
      </c>
      <c r="BS276" s="363">
        <v>0</v>
      </c>
      <c r="BT276" s="363">
        <v>0</v>
      </c>
      <c r="BU276" s="363">
        <v>0</v>
      </c>
      <c r="BV276" s="363">
        <v>0</v>
      </c>
      <c r="BW276" s="363">
        <v>0</v>
      </c>
      <c r="BX276" s="363">
        <v>0</v>
      </c>
      <c r="BY276" s="363">
        <v>0</v>
      </c>
      <c r="BZ276" s="363">
        <v>0</v>
      </c>
      <c r="CA276" s="363">
        <v>0</v>
      </c>
      <c r="CB276" s="363">
        <v>0</v>
      </c>
      <c r="CC276" s="363">
        <v>0</v>
      </c>
      <c r="CD276" s="363">
        <v>0</v>
      </c>
      <c r="CE276" s="363">
        <v>0</v>
      </c>
      <c r="CF276" s="363">
        <v>0</v>
      </c>
      <c r="CG276" s="363">
        <v>0</v>
      </c>
      <c r="CH276" s="363">
        <v>0</v>
      </c>
      <c r="CI276" s="363">
        <v>0</v>
      </c>
      <c r="CJ276" s="363">
        <v>0</v>
      </c>
      <c r="CK276" s="363">
        <v>0</v>
      </c>
      <c r="CL276" s="363">
        <v>0</v>
      </c>
      <c r="CM276" s="363">
        <v>0</v>
      </c>
      <c r="CN276" s="363">
        <v>0</v>
      </c>
      <c r="CO276" s="363">
        <v>0</v>
      </c>
      <c r="CP276" s="363">
        <v>0</v>
      </c>
      <c r="CQ276" s="363">
        <v>0</v>
      </c>
      <c r="CR276" s="363">
        <v>0</v>
      </c>
      <c r="CS276" s="363">
        <v>0</v>
      </c>
      <c r="CT276" s="363">
        <v>0</v>
      </c>
      <c r="CU276" s="363">
        <v>0</v>
      </c>
      <c r="CV276" s="363">
        <v>0</v>
      </c>
      <c r="CW276" s="363">
        <v>0</v>
      </c>
      <c r="CX276" s="363">
        <v>0</v>
      </c>
      <c r="CY276" s="363">
        <v>0</v>
      </c>
      <c r="CZ276" s="363">
        <v>0</v>
      </c>
      <c r="DA276" s="363">
        <v>0</v>
      </c>
      <c r="DB276" s="363">
        <v>0</v>
      </c>
      <c r="DC276" s="363">
        <v>0</v>
      </c>
      <c r="DD276" s="363">
        <v>0</v>
      </c>
      <c r="DE276" s="363">
        <v>0</v>
      </c>
      <c r="DF276" s="363">
        <v>0</v>
      </c>
      <c r="DG276" s="363">
        <v>0</v>
      </c>
      <c r="DH276" s="363">
        <v>0</v>
      </c>
      <c r="DI276" s="363">
        <v>0</v>
      </c>
      <c r="DJ276" s="363">
        <v>0</v>
      </c>
      <c r="DK276" s="363">
        <v>0</v>
      </c>
      <c r="DL276" s="363">
        <v>0</v>
      </c>
      <c r="DM276" s="363">
        <v>0</v>
      </c>
      <c r="DN276" s="363">
        <v>0</v>
      </c>
      <c r="DO276" s="363">
        <v>0</v>
      </c>
      <c r="DP276" s="363">
        <v>0</v>
      </c>
      <c r="DQ276" s="363">
        <v>0</v>
      </c>
      <c r="DR276" s="363">
        <v>0</v>
      </c>
      <c r="DS276" s="363">
        <v>0</v>
      </c>
      <c r="DT276" s="363">
        <v>0</v>
      </c>
      <c r="DU276" s="363">
        <v>0</v>
      </c>
      <c r="DV276" s="363">
        <v>0</v>
      </c>
      <c r="DW276" s="544">
        <f t="shared" si="36"/>
        <v>0</v>
      </c>
      <c r="DX276" s="858"/>
      <c r="DY276" s="705"/>
      <c r="DZ276" s="871"/>
      <c r="EA276" s="873"/>
      <c r="EB276" s="859"/>
      <c r="EC276" s="859"/>
      <c r="ED276" s="859"/>
      <c r="EE276" s="859"/>
      <c r="EF276" s="861"/>
      <c r="EG276" s="1106"/>
      <c r="EI276" s="858"/>
      <c r="EJ276" s="877"/>
      <c r="ER276" s="497"/>
    </row>
    <row r="277" spans="1:148" s="278" customFormat="1" ht="12.75" outlineLevel="2" thickBot="1" x14ac:dyDescent="0.25">
      <c r="A277" s="894"/>
      <c r="B277" s="887"/>
      <c r="C277" s="904"/>
      <c r="D277" s="865"/>
      <c r="E277" s="868"/>
      <c r="F277" s="315" t="s">
        <v>211</v>
      </c>
      <c r="G277" s="364">
        <v>0</v>
      </c>
      <c r="H277" s="364">
        <v>0</v>
      </c>
      <c r="I277" s="364">
        <v>0</v>
      </c>
      <c r="J277" s="364">
        <v>0</v>
      </c>
      <c r="K277" s="364">
        <v>0</v>
      </c>
      <c r="L277" s="364">
        <v>0</v>
      </c>
      <c r="M277" s="364">
        <v>0</v>
      </c>
      <c r="N277" s="364">
        <v>0</v>
      </c>
      <c r="O277" s="364">
        <v>0</v>
      </c>
      <c r="P277" s="364">
        <v>0</v>
      </c>
      <c r="Q277" s="364">
        <v>0</v>
      </c>
      <c r="R277" s="364">
        <v>0</v>
      </c>
      <c r="S277" s="364">
        <v>0</v>
      </c>
      <c r="T277" s="364">
        <v>0</v>
      </c>
      <c r="U277" s="364">
        <v>0</v>
      </c>
      <c r="V277" s="364">
        <v>0</v>
      </c>
      <c r="W277" s="364">
        <v>0</v>
      </c>
      <c r="X277" s="364">
        <v>0</v>
      </c>
      <c r="Y277" s="364">
        <v>0</v>
      </c>
      <c r="Z277" s="364">
        <v>0</v>
      </c>
      <c r="AA277" s="364">
        <v>0</v>
      </c>
      <c r="AB277" s="364">
        <v>0</v>
      </c>
      <c r="AC277" s="364">
        <v>0</v>
      </c>
      <c r="AD277" s="364">
        <v>0</v>
      </c>
      <c r="AE277" s="364">
        <v>0</v>
      </c>
      <c r="AF277" s="364">
        <v>0</v>
      </c>
      <c r="AG277" s="364">
        <v>0</v>
      </c>
      <c r="AH277" s="364">
        <v>0</v>
      </c>
      <c r="AI277" s="364">
        <v>0</v>
      </c>
      <c r="AJ277" s="364">
        <v>0</v>
      </c>
      <c r="AK277" s="364">
        <v>0</v>
      </c>
      <c r="AL277" s="364">
        <v>0</v>
      </c>
      <c r="AM277" s="364">
        <v>0</v>
      </c>
      <c r="AN277" s="364">
        <v>0</v>
      </c>
      <c r="AO277" s="364">
        <v>0</v>
      </c>
      <c r="AP277" s="364">
        <v>0</v>
      </c>
      <c r="AQ277" s="364">
        <v>0</v>
      </c>
      <c r="AR277" s="364">
        <v>0</v>
      </c>
      <c r="AS277" s="364">
        <v>0</v>
      </c>
      <c r="AT277" s="364">
        <v>0</v>
      </c>
      <c r="AU277" s="364">
        <v>0</v>
      </c>
      <c r="AV277" s="364">
        <v>0</v>
      </c>
      <c r="AW277" s="364">
        <v>0</v>
      </c>
      <c r="AX277" s="364">
        <v>0</v>
      </c>
      <c r="AY277" s="364">
        <v>0</v>
      </c>
      <c r="AZ277" s="364">
        <v>0</v>
      </c>
      <c r="BA277" s="364">
        <v>0</v>
      </c>
      <c r="BB277" s="364">
        <v>0</v>
      </c>
      <c r="BC277" s="363">
        <v>0</v>
      </c>
      <c r="BD277" s="363">
        <v>0</v>
      </c>
      <c r="BE277" s="363">
        <v>0</v>
      </c>
      <c r="BF277" s="363">
        <v>0</v>
      </c>
      <c r="BG277" s="363">
        <v>0</v>
      </c>
      <c r="BH277" s="363">
        <v>0</v>
      </c>
      <c r="BI277" s="363">
        <v>0</v>
      </c>
      <c r="BJ277" s="363">
        <v>0</v>
      </c>
      <c r="BK277" s="363">
        <v>0</v>
      </c>
      <c r="BL277" s="363">
        <v>0</v>
      </c>
      <c r="BM277" s="363">
        <v>0</v>
      </c>
      <c r="BN277" s="363">
        <v>0</v>
      </c>
      <c r="BO277" s="363">
        <v>0</v>
      </c>
      <c r="BP277" s="363">
        <v>0</v>
      </c>
      <c r="BQ277" s="363">
        <v>0</v>
      </c>
      <c r="BR277" s="363">
        <v>0</v>
      </c>
      <c r="BS277" s="363">
        <v>0</v>
      </c>
      <c r="BT277" s="363">
        <v>0</v>
      </c>
      <c r="BU277" s="363">
        <v>0</v>
      </c>
      <c r="BV277" s="363">
        <v>0</v>
      </c>
      <c r="BW277" s="363">
        <v>0</v>
      </c>
      <c r="BX277" s="363">
        <v>0</v>
      </c>
      <c r="BY277" s="363">
        <v>0</v>
      </c>
      <c r="BZ277" s="363">
        <v>0</v>
      </c>
      <c r="CA277" s="363">
        <v>0</v>
      </c>
      <c r="CB277" s="363">
        <v>0</v>
      </c>
      <c r="CC277" s="363">
        <v>0</v>
      </c>
      <c r="CD277" s="363">
        <v>0</v>
      </c>
      <c r="CE277" s="363">
        <v>0</v>
      </c>
      <c r="CF277" s="363">
        <v>0</v>
      </c>
      <c r="CG277" s="363">
        <v>0</v>
      </c>
      <c r="CH277" s="363">
        <v>0</v>
      </c>
      <c r="CI277" s="363">
        <v>0</v>
      </c>
      <c r="CJ277" s="363">
        <v>0</v>
      </c>
      <c r="CK277" s="363">
        <v>0</v>
      </c>
      <c r="CL277" s="363">
        <v>0</v>
      </c>
      <c r="CM277" s="363">
        <v>0</v>
      </c>
      <c r="CN277" s="363">
        <v>0</v>
      </c>
      <c r="CO277" s="363">
        <v>0</v>
      </c>
      <c r="CP277" s="363">
        <v>0</v>
      </c>
      <c r="CQ277" s="363">
        <v>0</v>
      </c>
      <c r="CR277" s="363">
        <v>0</v>
      </c>
      <c r="CS277" s="363">
        <v>0</v>
      </c>
      <c r="CT277" s="363">
        <v>0</v>
      </c>
      <c r="CU277" s="363">
        <v>0</v>
      </c>
      <c r="CV277" s="363">
        <v>0</v>
      </c>
      <c r="CW277" s="363">
        <v>0</v>
      </c>
      <c r="CX277" s="363">
        <v>0</v>
      </c>
      <c r="CY277" s="363">
        <v>0</v>
      </c>
      <c r="CZ277" s="363">
        <v>0</v>
      </c>
      <c r="DA277" s="363">
        <v>0</v>
      </c>
      <c r="DB277" s="363">
        <v>0</v>
      </c>
      <c r="DC277" s="363">
        <v>0</v>
      </c>
      <c r="DD277" s="363">
        <v>0</v>
      </c>
      <c r="DE277" s="363">
        <v>0</v>
      </c>
      <c r="DF277" s="363">
        <v>0</v>
      </c>
      <c r="DG277" s="363">
        <v>0</v>
      </c>
      <c r="DH277" s="363">
        <v>0</v>
      </c>
      <c r="DI277" s="363">
        <v>0</v>
      </c>
      <c r="DJ277" s="363">
        <v>0</v>
      </c>
      <c r="DK277" s="363">
        <v>0</v>
      </c>
      <c r="DL277" s="363">
        <v>0</v>
      </c>
      <c r="DM277" s="363">
        <v>0</v>
      </c>
      <c r="DN277" s="363">
        <v>0</v>
      </c>
      <c r="DO277" s="363">
        <v>0</v>
      </c>
      <c r="DP277" s="363">
        <v>0</v>
      </c>
      <c r="DQ277" s="363">
        <v>0</v>
      </c>
      <c r="DR277" s="364">
        <v>0</v>
      </c>
      <c r="DS277" s="364">
        <v>0</v>
      </c>
      <c r="DT277" s="364">
        <v>0</v>
      </c>
      <c r="DU277" s="364">
        <v>0</v>
      </c>
      <c r="DV277" s="364">
        <v>0</v>
      </c>
      <c r="DW277" s="545">
        <f t="shared" si="36"/>
        <v>0</v>
      </c>
      <c r="DX277" s="858"/>
      <c r="DY277" s="706"/>
      <c r="DZ277" s="872"/>
      <c r="EA277" s="873"/>
      <c r="EB277" s="859"/>
      <c r="EC277" s="859"/>
      <c r="ED277" s="859"/>
      <c r="EE277" s="859"/>
      <c r="EF277" s="861"/>
      <c r="EG277" s="1107"/>
      <c r="EI277" s="858"/>
      <c r="EJ277" s="877"/>
      <c r="ER277" s="497"/>
    </row>
    <row r="278" spans="1:148" s="278" customFormat="1" ht="24" outlineLevel="2" x14ac:dyDescent="0.2">
      <c r="A278" s="892"/>
      <c r="B278" s="897" t="s">
        <v>179</v>
      </c>
      <c r="C278" s="902">
        <v>5</v>
      </c>
      <c r="D278" s="863">
        <f>+IFERROR(VLOOKUP(B278,'Detalle Plan de Adquisiciones'!$G$6:$M$66,7,FALSE),0)</f>
        <v>0</v>
      </c>
      <c r="E278" s="866" t="str">
        <f>+'Detalle Plan de Adquisiciones'!F62</f>
        <v>PARADERO CON ESPACIO PUBLICO 05 AV. CIRCUNV. X C 95</v>
      </c>
      <c r="F278" s="312" t="s">
        <v>410</v>
      </c>
      <c r="G278" s="354">
        <v>0</v>
      </c>
      <c r="H278" s="354">
        <v>0</v>
      </c>
      <c r="I278" s="354">
        <v>0</v>
      </c>
      <c r="J278" s="354">
        <v>0</v>
      </c>
      <c r="K278" s="354">
        <v>0</v>
      </c>
      <c r="L278" s="354">
        <v>0</v>
      </c>
      <c r="M278" s="354">
        <v>0</v>
      </c>
      <c r="N278" s="354">
        <v>0</v>
      </c>
      <c r="O278" s="354">
        <v>0</v>
      </c>
      <c r="P278" s="354">
        <v>0</v>
      </c>
      <c r="Q278" s="354">
        <v>0</v>
      </c>
      <c r="R278" s="354">
        <v>0</v>
      </c>
      <c r="S278" s="354">
        <v>0</v>
      </c>
      <c r="T278" s="354">
        <v>0</v>
      </c>
      <c r="U278" s="354">
        <v>0</v>
      </c>
      <c r="V278" s="354">
        <v>0</v>
      </c>
      <c r="W278" s="354">
        <v>0</v>
      </c>
      <c r="X278" s="354">
        <v>0</v>
      </c>
      <c r="Y278" s="354">
        <v>0</v>
      </c>
      <c r="Z278" s="354">
        <v>0</v>
      </c>
      <c r="AA278" s="354">
        <v>0</v>
      </c>
      <c r="AB278" s="354">
        <v>0</v>
      </c>
      <c r="AC278" s="354">
        <v>0</v>
      </c>
      <c r="AD278" s="354">
        <v>0</v>
      </c>
      <c r="AE278" s="354">
        <v>0</v>
      </c>
      <c r="AF278" s="354">
        <v>0</v>
      </c>
      <c r="AG278" s="354">
        <v>0</v>
      </c>
      <c r="AH278" s="354">
        <v>0</v>
      </c>
      <c r="AI278" s="354">
        <v>0</v>
      </c>
      <c r="AJ278" s="354">
        <v>0</v>
      </c>
      <c r="AK278" s="354">
        <v>0</v>
      </c>
      <c r="AL278" s="354">
        <v>0</v>
      </c>
      <c r="AM278" s="354">
        <v>0</v>
      </c>
      <c r="AN278" s="354">
        <v>0</v>
      </c>
      <c r="AO278" s="354">
        <v>0</v>
      </c>
      <c r="AP278" s="354">
        <v>0</v>
      </c>
      <c r="AQ278" s="354">
        <v>0</v>
      </c>
      <c r="AR278" s="354">
        <v>0</v>
      </c>
      <c r="AS278" s="354">
        <v>0</v>
      </c>
      <c r="AT278" s="354">
        <v>0</v>
      </c>
      <c r="AU278" s="354">
        <v>0</v>
      </c>
      <c r="AV278" s="354">
        <v>0</v>
      </c>
      <c r="AW278" s="354">
        <v>0</v>
      </c>
      <c r="AX278" s="354">
        <v>0</v>
      </c>
      <c r="AY278" s="354">
        <v>0</v>
      </c>
      <c r="AZ278" s="354">
        <v>0</v>
      </c>
      <c r="BA278" s="354">
        <v>0</v>
      </c>
      <c r="BB278" s="354">
        <v>0</v>
      </c>
      <c r="BC278" s="363">
        <v>0</v>
      </c>
      <c r="BD278" s="363">
        <v>0</v>
      </c>
      <c r="BE278" s="363">
        <v>0</v>
      </c>
      <c r="BF278" s="363">
        <v>0</v>
      </c>
      <c r="BG278" s="363">
        <v>0</v>
      </c>
      <c r="BH278" s="363">
        <v>0</v>
      </c>
      <c r="BI278" s="363">
        <v>0</v>
      </c>
      <c r="BJ278" s="363">
        <v>0</v>
      </c>
      <c r="BK278" s="363">
        <v>0</v>
      </c>
      <c r="BL278" s="363">
        <v>0</v>
      </c>
      <c r="BM278" s="363">
        <v>0</v>
      </c>
      <c r="BN278" s="363">
        <v>0</v>
      </c>
      <c r="BO278" s="363">
        <v>0</v>
      </c>
      <c r="BP278" s="363">
        <v>0</v>
      </c>
      <c r="BQ278" s="363">
        <v>0</v>
      </c>
      <c r="BR278" s="363">
        <v>0</v>
      </c>
      <c r="BS278" s="363">
        <v>0</v>
      </c>
      <c r="BT278" s="363">
        <v>0</v>
      </c>
      <c r="BU278" s="363">
        <v>0</v>
      </c>
      <c r="BV278" s="363">
        <v>0</v>
      </c>
      <c r="BW278" s="363">
        <v>0</v>
      </c>
      <c r="BX278" s="363">
        <v>0</v>
      </c>
      <c r="BY278" s="363">
        <v>0</v>
      </c>
      <c r="BZ278" s="363">
        <v>0</v>
      </c>
      <c r="CA278" s="363">
        <v>0</v>
      </c>
      <c r="CB278" s="363">
        <v>0</v>
      </c>
      <c r="CC278" s="363">
        <v>0</v>
      </c>
      <c r="CD278" s="363">
        <v>0</v>
      </c>
      <c r="CE278" s="363">
        <v>0</v>
      </c>
      <c r="CF278" s="363">
        <v>0</v>
      </c>
      <c r="CG278" s="363">
        <v>0</v>
      </c>
      <c r="CH278" s="363">
        <v>0</v>
      </c>
      <c r="CI278" s="363">
        <v>0</v>
      </c>
      <c r="CJ278" s="363">
        <v>0</v>
      </c>
      <c r="CK278" s="363">
        <v>0</v>
      </c>
      <c r="CL278" s="363">
        <v>0</v>
      </c>
      <c r="CM278" s="363">
        <v>0</v>
      </c>
      <c r="CN278" s="363">
        <v>0</v>
      </c>
      <c r="CO278" s="363">
        <v>0</v>
      </c>
      <c r="CP278" s="363">
        <v>0</v>
      </c>
      <c r="CQ278" s="363">
        <v>0</v>
      </c>
      <c r="CR278" s="363">
        <v>0</v>
      </c>
      <c r="CS278" s="363">
        <v>0</v>
      </c>
      <c r="CT278" s="363">
        <v>0</v>
      </c>
      <c r="CU278" s="363">
        <v>0</v>
      </c>
      <c r="CV278" s="363">
        <v>0</v>
      </c>
      <c r="CW278" s="363">
        <v>0</v>
      </c>
      <c r="CX278" s="363">
        <v>0</v>
      </c>
      <c r="CY278" s="363">
        <v>0</v>
      </c>
      <c r="CZ278" s="363">
        <v>0</v>
      </c>
      <c r="DA278" s="363">
        <v>0</v>
      </c>
      <c r="DB278" s="363">
        <v>0</v>
      </c>
      <c r="DC278" s="363">
        <v>0</v>
      </c>
      <c r="DD278" s="363">
        <v>0</v>
      </c>
      <c r="DE278" s="363">
        <v>0</v>
      </c>
      <c r="DF278" s="363">
        <v>0</v>
      </c>
      <c r="DG278" s="363">
        <v>0</v>
      </c>
      <c r="DH278" s="363">
        <v>0</v>
      </c>
      <c r="DI278" s="363">
        <v>0</v>
      </c>
      <c r="DJ278" s="363">
        <v>0</v>
      </c>
      <c r="DK278" s="363">
        <v>0</v>
      </c>
      <c r="DL278" s="363">
        <v>0</v>
      </c>
      <c r="DM278" s="363">
        <v>0</v>
      </c>
      <c r="DN278" s="363">
        <v>0</v>
      </c>
      <c r="DO278" s="363">
        <v>0</v>
      </c>
      <c r="DP278" s="363">
        <v>0</v>
      </c>
      <c r="DQ278" s="363">
        <v>0</v>
      </c>
      <c r="DR278" s="354">
        <v>0</v>
      </c>
      <c r="DS278" s="354">
        <v>0</v>
      </c>
      <c r="DT278" s="354">
        <v>0</v>
      </c>
      <c r="DU278" s="354">
        <v>0</v>
      </c>
      <c r="DV278" s="354">
        <v>0</v>
      </c>
      <c r="DW278" s="543">
        <f t="shared" si="36"/>
        <v>0</v>
      </c>
      <c r="DX278" s="858">
        <f>DW278+DW279+DW280</f>
        <v>0</v>
      </c>
      <c r="DY278" s="704">
        <f>+DX278*1000000</f>
        <v>0</v>
      </c>
      <c r="DZ278" s="870">
        <f>+DY278-D278</f>
        <v>0</v>
      </c>
      <c r="EA278" s="873" t="str">
        <f>VLOOKUP(POA!$B278,'Detalle Plan de Adquisiciones'!$G$6:$AF$66,23,0)</f>
        <v>N/A</v>
      </c>
      <c r="EB278" s="859" t="str">
        <f>VLOOKUP(POA!$B278,'Detalle Plan de Adquisiciones'!$G$6:$AF$66,25,0)</f>
        <v>N/A</v>
      </c>
      <c r="EC278" s="859" t="e">
        <f>EB278+30</f>
        <v>#VALUE!</v>
      </c>
      <c r="ED278" s="859" t="e">
        <f>CONCATENATE(MONTH(EA278),"-",YEAR(EA278))</f>
        <v>#VALUE!</v>
      </c>
      <c r="EE278" s="859" t="e">
        <f>CONCATENATE(MONTH(EB278),"-",YEAR(EB278))</f>
        <v>#VALUE!</v>
      </c>
      <c r="EF278" s="861" t="e">
        <f>CONCATENATE(MONTH(EC278),"-",YEAR(EC278))</f>
        <v>#VALUE!</v>
      </c>
      <c r="EG278" s="1105" t="e">
        <f>+YEAR(EA278)</f>
        <v>#VALUE!</v>
      </c>
      <c r="EI278" s="858">
        <f>+DW278+DW279+DW280</f>
        <v>0</v>
      </c>
      <c r="EJ278" s="877">
        <f>+D278/1000000-EI278</f>
        <v>0</v>
      </c>
      <c r="ER278" s="497"/>
    </row>
    <row r="279" spans="1:148" s="278" customFormat="1" outlineLevel="2" x14ac:dyDescent="0.2">
      <c r="A279" s="893"/>
      <c r="B279" s="886"/>
      <c r="C279" s="903"/>
      <c r="D279" s="864"/>
      <c r="E279" s="867"/>
      <c r="F279" s="311" t="s">
        <v>210</v>
      </c>
      <c r="G279" s="363">
        <v>0</v>
      </c>
      <c r="H279" s="363">
        <v>0</v>
      </c>
      <c r="I279" s="363">
        <v>0</v>
      </c>
      <c r="J279" s="363">
        <v>0</v>
      </c>
      <c r="K279" s="363">
        <v>0</v>
      </c>
      <c r="L279" s="363">
        <v>0</v>
      </c>
      <c r="M279" s="363">
        <v>0</v>
      </c>
      <c r="N279" s="363">
        <v>0</v>
      </c>
      <c r="O279" s="363">
        <v>0</v>
      </c>
      <c r="P279" s="363">
        <v>0</v>
      </c>
      <c r="Q279" s="363">
        <v>0</v>
      </c>
      <c r="R279" s="363">
        <v>0</v>
      </c>
      <c r="S279" s="363">
        <v>0</v>
      </c>
      <c r="T279" s="363">
        <v>0</v>
      </c>
      <c r="U279" s="363">
        <v>0</v>
      </c>
      <c r="V279" s="363">
        <v>0</v>
      </c>
      <c r="W279" s="363">
        <v>0</v>
      </c>
      <c r="X279" s="363">
        <v>0</v>
      </c>
      <c r="Y279" s="363">
        <v>0</v>
      </c>
      <c r="Z279" s="363">
        <v>0</v>
      </c>
      <c r="AA279" s="363">
        <v>0</v>
      </c>
      <c r="AB279" s="363">
        <v>0</v>
      </c>
      <c r="AC279" s="363">
        <v>0</v>
      </c>
      <c r="AD279" s="363">
        <v>0</v>
      </c>
      <c r="AE279" s="363">
        <v>0</v>
      </c>
      <c r="AF279" s="363">
        <v>0</v>
      </c>
      <c r="AG279" s="363">
        <v>0</v>
      </c>
      <c r="AH279" s="363">
        <v>0</v>
      </c>
      <c r="AI279" s="363">
        <v>0</v>
      </c>
      <c r="AJ279" s="363">
        <v>0</v>
      </c>
      <c r="AK279" s="363">
        <v>0</v>
      </c>
      <c r="AL279" s="363">
        <v>0</v>
      </c>
      <c r="AM279" s="363">
        <v>0</v>
      </c>
      <c r="AN279" s="363">
        <v>0</v>
      </c>
      <c r="AO279" s="363">
        <v>0</v>
      </c>
      <c r="AP279" s="363">
        <v>0</v>
      </c>
      <c r="AQ279" s="363">
        <v>0</v>
      </c>
      <c r="AR279" s="363">
        <v>0</v>
      </c>
      <c r="AS279" s="363">
        <v>0</v>
      </c>
      <c r="AT279" s="363">
        <v>0</v>
      </c>
      <c r="AU279" s="363">
        <v>0</v>
      </c>
      <c r="AV279" s="363">
        <v>0</v>
      </c>
      <c r="AW279" s="363">
        <v>0</v>
      </c>
      <c r="AX279" s="363">
        <v>0</v>
      </c>
      <c r="AY279" s="363">
        <v>0</v>
      </c>
      <c r="AZ279" s="363">
        <v>0</v>
      </c>
      <c r="BA279" s="363">
        <v>0</v>
      </c>
      <c r="BB279" s="363">
        <v>0</v>
      </c>
      <c r="BC279" s="363">
        <v>0</v>
      </c>
      <c r="BD279" s="363">
        <v>0</v>
      </c>
      <c r="BE279" s="363">
        <v>0</v>
      </c>
      <c r="BF279" s="363">
        <v>0</v>
      </c>
      <c r="BG279" s="363">
        <v>0</v>
      </c>
      <c r="BH279" s="363">
        <v>0</v>
      </c>
      <c r="BI279" s="363">
        <v>0</v>
      </c>
      <c r="BJ279" s="363">
        <v>0</v>
      </c>
      <c r="BK279" s="363">
        <v>0</v>
      </c>
      <c r="BL279" s="363">
        <v>0</v>
      </c>
      <c r="BM279" s="363">
        <v>0</v>
      </c>
      <c r="BN279" s="363">
        <v>0</v>
      </c>
      <c r="BO279" s="363">
        <v>0</v>
      </c>
      <c r="BP279" s="363">
        <v>0</v>
      </c>
      <c r="BQ279" s="363">
        <v>0</v>
      </c>
      <c r="BR279" s="363">
        <v>0</v>
      </c>
      <c r="BS279" s="363">
        <v>0</v>
      </c>
      <c r="BT279" s="363">
        <v>0</v>
      </c>
      <c r="BU279" s="363">
        <v>0</v>
      </c>
      <c r="BV279" s="363">
        <v>0</v>
      </c>
      <c r="BW279" s="363">
        <v>0</v>
      </c>
      <c r="BX279" s="363">
        <v>0</v>
      </c>
      <c r="BY279" s="363">
        <v>0</v>
      </c>
      <c r="BZ279" s="363">
        <v>0</v>
      </c>
      <c r="CA279" s="363">
        <v>0</v>
      </c>
      <c r="CB279" s="363">
        <v>0</v>
      </c>
      <c r="CC279" s="363">
        <v>0</v>
      </c>
      <c r="CD279" s="363">
        <v>0</v>
      </c>
      <c r="CE279" s="363">
        <v>0</v>
      </c>
      <c r="CF279" s="363">
        <v>0</v>
      </c>
      <c r="CG279" s="363">
        <v>0</v>
      </c>
      <c r="CH279" s="363">
        <v>0</v>
      </c>
      <c r="CI279" s="363">
        <v>0</v>
      </c>
      <c r="CJ279" s="363">
        <v>0</v>
      </c>
      <c r="CK279" s="363">
        <v>0</v>
      </c>
      <c r="CL279" s="363">
        <v>0</v>
      </c>
      <c r="CM279" s="363">
        <v>0</v>
      </c>
      <c r="CN279" s="363">
        <v>0</v>
      </c>
      <c r="CO279" s="363">
        <v>0</v>
      </c>
      <c r="CP279" s="363">
        <v>0</v>
      </c>
      <c r="CQ279" s="363">
        <v>0</v>
      </c>
      <c r="CR279" s="363">
        <v>0</v>
      </c>
      <c r="CS279" s="363">
        <v>0</v>
      </c>
      <c r="CT279" s="363">
        <v>0</v>
      </c>
      <c r="CU279" s="363">
        <v>0</v>
      </c>
      <c r="CV279" s="363">
        <v>0</v>
      </c>
      <c r="CW279" s="363">
        <v>0</v>
      </c>
      <c r="CX279" s="363">
        <v>0</v>
      </c>
      <c r="CY279" s="363">
        <v>0</v>
      </c>
      <c r="CZ279" s="363">
        <v>0</v>
      </c>
      <c r="DA279" s="363">
        <v>0</v>
      </c>
      <c r="DB279" s="363">
        <v>0</v>
      </c>
      <c r="DC279" s="363">
        <v>0</v>
      </c>
      <c r="DD279" s="363">
        <v>0</v>
      </c>
      <c r="DE279" s="363">
        <v>0</v>
      </c>
      <c r="DF279" s="363">
        <v>0</v>
      </c>
      <c r="DG279" s="363">
        <v>0</v>
      </c>
      <c r="DH279" s="363">
        <v>0</v>
      </c>
      <c r="DI279" s="363">
        <v>0</v>
      </c>
      <c r="DJ279" s="363">
        <v>0</v>
      </c>
      <c r="DK279" s="363">
        <v>0</v>
      </c>
      <c r="DL279" s="363">
        <v>0</v>
      </c>
      <c r="DM279" s="363">
        <v>0</v>
      </c>
      <c r="DN279" s="363">
        <v>0</v>
      </c>
      <c r="DO279" s="363">
        <v>0</v>
      </c>
      <c r="DP279" s="363">
        <v>0</v>
      </c>
      <c r="DQ279" s="363">
        <v>0</v>
      </c>
      <c r="DR279" s="363">
        <v>0</v>
      </c>
      <c r="DS279" s="363">
        <v>0</v>
      </c>
      <c r="DT279" s="363">
        <v>0</v>
      </c>
      <c r="DU279" s="363">
        <v>0</v>
      </c>
      <c r="DV279" s="363">
        <v>0</v>
      </c>
      <c r="DW279" s="544">
        <f t="shared" si="36"/>
        <v>0</v>
      </c>
      <c r="DX279" s="858"/>
      <c r="DY279" s="705"/>
      <c r="DZ279" s="871"/>
      <c r="EA279" s="873"/>
      <c r="EB279" s="859"/>
      <c r="EC279" s="859"/>
      <c r="ED279" s="859"/>
      <c r="EE279" s="859"/>
      <c r="EF279" s="861"/>
      <c r="EG279" s="1106"/>
      <c r="EI279" s="858"/>
      <c r="EJ279" s="877"/>
      <c r="ER279" s="497"/>
    </row>
    <row r="280" spans="1:148" s="278" customFormat="1" ht="12.75" outlineLevel="2" thickBot="1" x14ac:dyDescent="0.25">
      <c r="A280" s="894"/>
      <c r="B280" s="887"/>
      <c r="C280" s="904"/>
      <c r="D280" s="865"/>
      <c r="E280" s="868"/>
      <c r="F280" s="315" t="s">
        <v>211</v>
      </c>
      <c r="G280" s="364">
        <v>0</v>
      </c>
      <c r="H280" s="364">
        <v>0</v>
      </c>
      <c r="I280" s="364">
        <v>0</v>
      </c>
      <c r="J280" s="364">
        <v>0</v>
      </c>
      <c r="K280" s="364">
        <v>0</v>
      </c>
      <c r="L280" s="364">
        <v>0</v>
      </c>
      <c r="M280" s="364">
        <v>0</v>
      </c>
      <c r="N280" s="364">
        <v>0</v>
      </c>
      <c r="O280" s="364">
        <v>0</v>
      </c>
      <c r="P280" s="364">
        <v>0</v>
      </c>
      <c r="Q280" s="364">
        <v>0</v>
      </c>
      <c r="R280" s="364">
        <v>0</v>
      </c>
      <c r="S280" s="364">
        <v>0</v>
      </c>
      <c r="T280" s="364">
        <v>0</v>
      </c>
      <c r="U280" s="364">
        <v>0</v>
      </c>
      <c r="V280" s="364">
        <v>0</v>
      </c>
      <c r="W280" s="364">
        <v>0</v>
      </c>
      <c r="X280" s="364">
        <v>0</v>
      </c>
      <c r="Y280" s="364">
        <v>0</v>
      </c>
      <c r="Z280" s="364">
        <v>0</v>
      </c>
      <c r="AA280" s="364">
        <v>0</v>
      </c>
      <c r="AB280" s="364">
        <v>0</v>
      </c>
      <c r="AC280" s="364">
        <v>0</v>
      </c>
      <c r="AD280" s="364">
        <v>0</v>
      </c>
      <c r="AE280" s="364">
        <v>0</v>
      </c>
      <c r="AF280" s="364">
        <v>0</v>
      </c>
      <c r="AG280" s="364">
        <v>0</v>
      </c>
      <c r="AH280" s="364">
        <v>0</v>
      </c>
      <c r="AI280" s="364">
        <v>0</v>
      </c>
      <c r="AJ280" s="364">
        <v>0</v>
      </c>
      <c r="AK280" s="364">
        <v>0</v>
      </c>
      <c r="AL280" s="364">
        <v>0</v>
      </c>
      <c r="AM280" s="364">
        <v>0</v>
      </c>
      <c r="AN280" s="364">
        <v>0</v>
      </c>
      <c r="AO280" s="364">
        <v>0</v>
      </c>
      <c r="AP280" s="364">
        <v>0</v>
      </c>
      <c r="AQ280" s="364">
        <v>0</v>
      </c>
      <c r="AR280" s="364">
        <v>0</v>
      </c>
      <c r="AS280" s="364">
        <v>0</v>
      </c>
      <c r="AT280" s="364">
        <v>0</v>
      </c>
      <c r="AU280" s="364">
        <v>0</v>
      </c>
      <c r="AV280" s="364">
        <v>0</v>
      </c>
      <c r="AW280" s="364">
        <v>0</v>
      </c>
      <c r="AX280" s="364">
        <v>0</v>
      </c>
      <c r="AY280" s="364">
        <v>0</v>
      </c>
      <c r="AZ280" s="364">
        <v>0</v>
      </c>
      <c r="BA280" s="364">
        <v>0</v>
      </c>
      <c r="BB280" s="364">
        <v>0</v>
      </c>
      <c r="BC280" s="363">
        <v>0</v>
      </c>
      <c r="BD280" s="363">
        <v>0</v>
      </c>
      <c r="BE280" s="363">
        <v>0</v>
      </c>
      <c r="BF280" s="363">
        <v>0</v>
      </c>
      <c r="BG280" s="363">
        <v>0</v>
      </c>
      <c r="BH280" s="363">
        <v>0</v>
      </c>
      <c r="BI280" s="363">
        <v>0</v>
      </c>
      <c r="BJ280" s="363">
        <v>0</v>
      </c>
      <c r="BK280" s="363">
        <v>0</v>
      </c>
      <c r="BL280" s="363">
        <v>0</v>
      </c>
      <c r="BM280" s="363">
        <v>0</v>
      </c>
      <c r="BN280" s="363">
        <v>0</v>
      </c>
      <c r="BO280" s="363">
        <v>0</v>
      </c>
      <c r="BP280" s="363">
        <v>0</v>
      </c>
      <c r="BQ280" s="363">
        <v>0</v>
      </c>
      <c r="BR280" s="363">
        <v>0</v>
      </c>
      <c r="BS280" s="363">
        <v>0</v>
      </c>
      <c r="BT280" s="363">
        <v>0</v>
      </c>
      <c r="BU280" s="363">
        <v>0</v>
      </c>
      <c r="BV280" s="363">
        <v>0</v>
      </c>
      <c r="BW280" s="363">
        <v>0</v>
      </c>
      <c r="BX280" s="363">
        <v>0</v>
      </c>
      <c r="BY280" s="363">
        <v>0</v>
      </c>
      <c r="BZ280" s="363">
        <v>0</v>
      </c>
      <c r="CA280" s="363">
        <v>0</v>
      </c>
      <c r="CB280" s="363">
        <v>0</v>
      </c>
      <c r="CC280" s="363">
        <v>0</v>
      </c>
      <c r="CD280" s="363">
        <v>0</v>
      </c>
      <c r="CE280" s="363">
        <v>0</v>
      </c>
      <c r="CF280" s="363">
        <v>0</v>
      </c>
      <c r="CG280" s="363">
        <v>0</v>
      </c>
      <c r="CH280" s="363">
        <v>0</v>
      </c>
      <c r="CI280" s="363">
        <v>0</v>
      </c>
      <c r="CJ280" s="363">
        <v>0</v>
      </c>
      <c r="CK280" s="363">
        <v>0</v>
      </c>
      <c r="CL280" s="363">
        <v>0</v>
      </c>
      <c r="CM280" s="363">
        <v>0</v>
      </c>
      <c r="CN280" s="363">
        <v>0</v>
      </c>
      <c r="CO280" s="363">
        <v>0</v>
      </c>
      <c r="CP280" s="363">
        <v>0</v>
      </c>
      <c r="CQ280" s="363">
        <v>0</v>
      </c>
      <c r="CR280" s="363">
        <v>0</v>
      </c>
      <c r="CS280" s="363">
        <v>0</v>
      </c>
      <c r="CT280" s="363">
        <v>0</v>
      </c>
      <c r="CU280" s="363">
        <v>0</v>
      </c>
      <c r="CV280" s="363">
        <v>0</v>
      </c>
      <c r="CW280" s="363">
        <v>0</v>
      </c>
      <c r="CX280" s="363">
        <v>0</v>
      </c>
      <c r="CY280" s="363">
        <v>0</v>
      </c>
      <c r="CZ280" s="363">
        <v>0</v>
      </c>
      <c r="DA280" s="363">
        <v>0</v>
      </c>
      <c r="DB280" s="363">
        <v>0</v>
      </c>
      <c r="DC280" s="363">
        <v>0</v>
      </c>
      <c r="DD280" s="363">
        <v>0</v>
      </c>
      <c r="DE280" s="363">
        <v>0</v>
      </c>
      <c r="DF280" s="363">
        <v>0</v>
      </c>
      <c r="DG280" s="363">
        <v>0</v>
      </c>
      <c r="DH280" s="363">
        <v>0</v>
      </c>
      <c r="DI280" s="363">
        <v>0</v>
      </c>
      <c r="DJ280" s="363">
        <v>0</v>
      </c>
      <c r="DK280" s="363">
        <v>0</v>
      </c>
      <c r="DL280" s="363">
        <v>0</v>
      </c>
      <c r="DM280" s="363">
        <v>0</v>
      </c>
      <c r="DN280" s="363">
        <v>0</v>
      </c>
      <c r="DO280" s="363">
        <v>0</v>
      </c>
      <c r="DP280" s="363">
        <v>0</v>
      </c>
      <c r="DQ280" s="363">
        <v>0</v>
      </c>
      <c r="DR280" s="364">
        <v>0</v>
      </c>
      <c r="DS280" s="364">
        <v>0</v>
      </c>
      <c r="DT280" s="364">
        <v>0</v>
      </c>
      <c r="DU280" s="364">
        <v>0</v>
      </c>
      <c r="DV280" s="364">
        <v>0</v>
      </c>
      <c r="DW280" s="545">
        <f t="shared" si="36"/>
        <v>0</v>
      </c>
      <c r="DX280" s="858"/>
      <c r="DY280" s="706"/>
      <c r="DZ280" s="872"/>
      <c r="EA280" s="873"/>
      <c r="EB280" s="859"/>
      <c r="EC280" s="859"/>
      <c r="ED280" s="859"/>
      <c r="EE280" s="859"/>
      <c r="EF280" s="861"/>
      <c r="EG280" s="1107"/>
      <c r="EI280" s="858"/>
      <c r="EJ280" s="877"/>
      <c r="ER280" s="497"/>
    </row>
    <row r="281" spans="1:148" s="278" customFormat="1" ht="24" outlineLevel="2" x14ac:dyDescent="0.2">
      <c r="A281" s="892"/>
      <c r="B281" s="897" t="s">
        <v>180</v>
      </c>
      <c r="C281" s="902">
        <v>5</v>
      </c>
      <c r="D281" s="863">
        <f>+IFERROR(VLOOKUP(B281,'Detalle Plan de Adquisiciones'!$G$6:$M$66,7,FALSE),0)</f>
        <v>0</v>
      </c>
      <c r="E281" s="866" t="str">
        <f>+'Detalle Plan de Adquisiciones'!F63</f>
        <v>PARADERO CON ESPACIO PUBLICO 12 T 15 X C 5</v>
      </c>
      <c r="F281" s="312" t="s">
        <v>410</v>
      </c>
      <c r="G281" s="354">
        <v>0</v>
      </c>
      <c r="H281" s="354">
        <v>0</v>
      </c>
      <c r="I281" s="354">
        <v>0</v>
      </c>
      <c r="J281" s="354">
        <v>0</v>
      </c>
      <c r="K281" s="354">
        <v>0</v>
      </c>
      <c r="L281" s="354">
        <v>0</v>
      </c>
      <c r="M281" s="354">
        <v>0</v>
      </c>
      <c r="N281" s="354">
        <v>0</v>
      </c>
      <c r="O281" s="354">
        <v>0</v>
      </c>
      <c r="P281" s="354">
        <v>0</v>
      </c>
      <c r="Q281" s="354">
        <v>0</v>
      </c>
      <c r="R281" s="354">
        <v>0</v>
      </c>
      <c r="S281" s="354">
        <v>0</v>
      </c>
      <c r="T281" s="354">
        <v>0</v>
      </c>
      <c r="U281" s="354">
        <v>0</v>
      </c>
      <c r="V281" s="354">
        <v>0</v>
      </c>
      <c r="W281" s="354">
        <v>0</v>
      </c>
      <c r="X281" s="354">
        <v>0</v>
      </c>
      <c r="Y281" s="354">
        <v>0</v>
      </c>
      <c r="Z281" s="354">
        <v>0</v>
      </c>
      <c r="AA281" s="354">
        <v>0</v>
      </c>
      <c r="AB281" s="354">
        <v>0</v>
      </c>
      <c r="AC281" s="354">
        <v>0</v>
      </c>
      <c r="AD281" s="354">
        <v>0</v>
      </c>
      <c r="AE281" s="354">
        <v>0</v>
      </c>
      <c r="AF281" s="354">
        <v>0</v>
      </c>
      <c r="AG281" s="354">
        <v>0</v>
      </c>
      <c r="AH281" s="354">
        <v>0</v>
      </c>
      <c r="AI281" s="354">
        <v>0</v>
      </c>
      <c r="AJ281" s="354">
        <v>0</v>
      </c>
      <c r="AK281" s="354">
        <v>0</v>
      </c>
      <c r="AL281" s="354">
        <v>0</v>
      </c>
      <c r="AM281" s="354">
        <v>0</v>
      </c>
      <c r="AN281" s="354">
        <v>0</v>
      </c>
      <c r="AO281" s="354">
        <v>0</v>
      </c>
      <c r="AP281" s="354">
        <v>0</v>
      </c>
      <c r="AQ281" s="354">
        <v>0</v>
      </c>
      <c r="AR281" s="354">
        <v>0</v>
      </c>
      <c r="AS281" s="354">
        <v>0</v>
      </c>
      <c r="AT281" s="354">
        <v>0</v>
      </c>
      <c r="AU281" s="354">
        <v>0</v>
      </c>
      <c r="AV281" s="354">
        <v>0</v>
      </c>
      <c r="AW281" s="354">
        <v>0</v>
      </c>
      <c r="AX281" s="354">
        <v>0</v>
      </c>
      <c r="AY281" s="354">
        <v>0</v>
      </c>
      <c r="AZ281" s="354">
        <v>0</v>
      </c>
      <c r="BA281" s="354">
        <v>0</v>
      </c>
      <c r="BB281" s="354">
        <v>0</v>
      </c>
      <c r="BC281" s="363">
        <v>0</v>
      </c>
      <c r="BD281" s="363">
        <v>0</v>
      </c>
      <c r="BE281" s="363">
        <v>0</v>
      </c>
      <c r="BF281" s="363">
        <v>0</v>
      </c>
      <c r="BG281" s="363">
        <v>0</v>
      </c>
      <c r="BH281" s="363">
        <v>0</v>
      </c>
      <c r="BI281" s="363">
        <v>0</v>
      </c>
      <c r="BJ281" s="363">
        <v>0</v>
      </c>
      <c r="BK281" s="363">
        <v>0</v>
      </c>
      <c r="BL281" s="363">
        <v>0</v>
      </c>
      <c r="BM281" s="363">
        <v>0</v>
      </c>
      <c r="BN281" s="363">
        <v>0</v>
      </c>
      <c r="BO281" s="363">
        <v>0</v>
      </c>
      <c r="BP281" s="363">
        <v>0</v>
      </c>
      <c r="BQ281" s="363">
        <v>0</v>
      </c>
      <c r="BR281" s="363">
        <v>0</v>
      </c>
      <c r="BS281" s="363">
        <v>0</v>
      </c>
      <c r="BT281" s="363">
        <v>0</v>
      </c>
      <c r="BU281" s="363">
        <v>0</v>
      </c>
      <c r="BV281" s="363">
        <v>0</v>
      </c>
      <c r="BW281" s="363">
        <v>0</v>
      </c>
      <c r="BX281" s="363">
        <v>0</v>
      </c>
      <c r="BY281" s="363">
        <v>0</v>
      </c>
      <c r="BZ281" s="363">
        <v>0</v>
      </c>
      <c r="CA281" s="363">
        <v>0</v>
      </c>
      <c r="CB281" s="363">
        <v>0</v>
      </c>
      <c r="CC281" s="363">
        <v>0</v>
      </c>
      <c r="CD281" s="363">
        <v>0</v>
      </c>
      <c r="CE281" s="363">
        <v>0</v>
      </c>
      <c r="CF281" s="363">
        <v>0</v>
      </c>
      <c r="CG281" s="363">
        <v>0</v>
      </c>
      <c r="CH281" s="363">
        <v>0</v>
      </c>
      <c r="CI281" s="363">
        <v>0</v>
      </c>
      <c r="CJ281" s="363">
        <v>0</v>
      </c>
      <c r="CK281" s="363">
        <v>0</v>
      </c>
      <c r="CL281" s="363">
        <v>0</v>
      </c>
      <c r="CM281" s="363">
        <v>0</v>
      </c>
      <c r="CN281" s="363">
        <v>0</v>
      </c>
      <c r="CO281" s="363">
        <v>0</v>
      </c>
      <c r="CP281" s="363">
        <v>0</v>
      </c>
      <c r="CQ281" s="363">
        <v>0</v>
      </c>
      <c r="CR281" s="363">
        <v>0</v>
      </c>
      <c r="CS281" s="363">
        <v>0</v>
      </c>
      <c r="CT281" s="363">
        <v>0</v>
      </c>
      <c r="CU281" s="363">
        <v>0</v>
      </c>
      <c r="CV281" s="363">
        <v>0</v>
      </c>
      <c r="CW281" s="363">
        <v>0</v>
      </c>
      <c r="CX281" s="363">
        <v>0</v>
      </c>
      <c r="CY281" s="363">
        <v>0</v>
      </c>
      <c r="CZ281" s="363">
        <v>0</v>
      </c>
      <c r="DA281" s="363">
        <v>0</v>
      </c>
      <c r="DB281" s="363">
        <v>0</v>
      </c>
      <c r="DC281" s="363">
        <v>0</v>
      </c>
      <c r="DD281" s="363">
        <v>0</v>
      </c>
      <c r="DE281" s="363">
        <v>0</v>
      </c>
      <c r="DF281" s="363">
        <v>0</v>
      </c>
      <c r="DG281" s="363">
        <v>0</v>
      </c>
      <c r="DH281" s="363">
        <v>0</v>
      </c>
      <c r="DI281" s="363">
        <v>0</v>
      </c>
      <c r="DJ281" s="363">
        <v>0</v>
      </c>
      <c r="DK281" s="363">
        <v>0</v>
      </c>
      <c r="DL281" s="363">
        <v>0</v>
      </c>
      <c r="DM281" s="363">
        <v>0</v>
      </c>
      <c r="DN281" s="363">
        <v>0</v>
      </c>
      <c r="DO281" s="363">
        <v>0</v>
      </c>
      <c r="DP281" s="363">
        <v>0</v>
      </c>
      <c r="DQ281" s="363">
        <v>0</v>
      </c>
      <c r="DR281" s="354">
        <v>0</v>
      </c>
      <c r="DS281" s="354">
        <v>0</v>
      </c>
      <c r="DT281" s="354">
        <v>0</v>
      </c>
      <c r="DU281" s="354">
        <v>0</v>
      </c>
      <c r="DV281" s="354">
        <v>0</v>
      </c>
      <c r="DW281" s="543">
        <f t="shared" si="36"/>
        <v>0</v>
      </c>
      <c r="DX281" s="898">
        <f>DW281+DW282+DW283</f>
        <v>0</v>
      </c>
      <c r="DY281" s="704">
        <f>+DX281*1000000</f>
        <v>0</v>
      </c>
      <c r="DZ281" s="870">
        <f>+DY281-D281</f>
        <v>0</v>
      </c>
      <c r="EA281" s="873" t="str">
        <f>VLOOKUP(POA!$B281,'Detalle Plan de Adquisiciones'!$G$6:$AF$66,23,0)</f>
        <v>N/A</v>
      </c>
      <c r="EB281" s="859" t="str">
        <f>VLOOKUP(POA!$B281,'Detalle Plan de Adquisiciones'!$G$6:$AF$66,25,0)</f>
        <v>N/A</v>
      </c>
      <c r="EC281" s="859" t="e">
        <f>EB281+30</f>
        <v>#VALUE!</v>
      </c>
      <c r="ED281" s="859" t="e">
        <f>CONCATENATE(MONTH(EA281),"-",YEAR(EA281))</f>
        <v>#VALUE!</v>
      </c>
      <c r="EE281" s="859" t="e">
        <f>CONCATENATE(MONTH(EB281),"-",YEAR(EB281))</f>
        <v>#VALUE!</v>
      </c>
      <c r="EF281" s="861" t="e">
        <f>CONCATENATE(MONTH(EC281),"-",YEAR(EC281))</f>
        <v>#VALUE!</v>
      </c>
      <c r="EG281" s="1105" t="e">
        <f>+YEAR(EA281)</f>
        <v>#VALUE!</v>
      </c>
      <c r="EI281" s="858">
        <f>+DW281+DW282+DW283</f>
        <v>0</v>
      </c>
      <c r="EJ281" s="877">
        <f>+D281/1000000-EI281</f>
        <v>0</v>
      </c>
      <c r="ER281" s="497"/>
    </row>
    <row r="282" spans="1:148" s="278" customFormat="1" outlineLevel="2" x14ac:dyDescent="0.2">
      <c r="A282" s="893"/>
      <c r="B282" s="886"/>
      <c r="C282" s="903"/>
      <c r="D282" s="864"/>
      <c r="E282" s="867"/>
      <c r="F282" s="311" t="s">
        <v>210</v>
      </c>
      <c r="G282" s="363">
        <v>0</v>
      </c>
      <c r="H282" s="363">
        <v>0</v>
      </c>
      <c r="I282" s="363">
        <v>0</v>
      </c>
      <c r="J282" s="363">
        <v>0</v>
      </c>
      <c r="K282" s="363">
        <v>0</v>
      </c>
      <c r="L282" s="363">
        <v>0</v>
      </c>
      <c r="M282" s="363">
        <v>0</v>
      </c>
      <c r="N282" s="363">
        <v>0</v>
      </c>
      <c r="O282" s="363">
        <v>0</v>
      </c>
      <c r="P282" s="363">
        <v>0</v>
      </c>
      <c r="Q282" s="363">
        <v>0</v>
      </c>
      <c r="R282" s="363">
        <v>0</v>
      </c>
      <c r="S282" s="363">
        <v>0</v>
      </c>
      <c r="T282" s="363">
        <v>0</v>
      </c>
      <c r="U282" s="363">
        <v>0</v>
      </c>
      <c r="V282" s="363">
        <v>0</v>
      </c>
      <c r="W282" s="363">
        <v>0</v>
      </c>
      <c r="X282" s="363">
        <v>0</v>
      </c>
      <c r="Y282" s="363">
        <v>0</v>
      </c>
      <c r="Z282" s="363">
        <v>0</v>
      </c>
      <c r="AA282" s="363">
        <v>0</v>
      </c>
      <c r="AB282" s="363">
        <v>0</v>
      </c>
      <c r="AC282" s="363">
        <v>0</v>
      </c>
      <c r="AD282" s="363">
        <v>0</v>
      </c>
      <c r="AE282" s="363">
        <v>0</v>
      </c>
      <c r="AF282" s="363">
        <v>0</v>
      </c>
      <c r="AG282" s="363">
        <v>0</v>
      </c>
      <c r="AH282" s="363">
        <v>0</v>
      </c>
      <c r="AI282" s="363">
        <v>0</v>
      </c>
      <c r="AJ282" s="363">
        <v>0</v>
      </c>
      <c r="AK282" s="363">
        <v>0</v>
      </c>
      <c r="AL282" s="363">
        <v>0</v>
      </c>
      <c r="AM282" s="363">
        <v>0</v>
      </c>
      <c r="AN282" s="363">
        <v>0</v>
      </c>
      <c r="AO282" s="363">
        <v>0</v>
      </c>
      <c r="AP282" s="363">
        <v>0</v>
      </c>
      <c r="AQ282" s="363">
        <v>0</v>
      </c>
      <c r="AR282" s="363">
        <v>0</v>
      </c>
      <c r="AS282" s="363">
        <v>0</v>
      </c>
      <c r="AT282" s="363">
        <v>0</v>
      </c>
      <c r="AU282" s="363">
        <v>0</v>
      </c>
      <c r="AV282" s="363">
        <v>0</v>
      </c>
      <c r="AW282" s="363">
        <v>0</v>
      </c>
      <c r="AX282" s="363">
        <v>0</v>
      </c>
      <c r="AY282" s="363">
        <v>0</v>
      </c>
      <c r="AZ282" s="363">
        <v>0</v>
      </c>
      <c r="BA282" s="363">
        <v>0</v>
      </c>
      <c r="BB282" s="363">
        <v>0</v>
      </c>
      <c r="BC282" s="363">
        <v>0</v>
      </c>
      <c r="BD282" s="363">
        <v>0</v>
      </c>
      <c r="BE282" s="363">
        <v>0</v>
      </c>
      <c r="BF282" s="363">
        <v>0</v>
      </c>
      <c r="BG282" s="363">
        <v>0</v>
      </c>
      <c r="BH282" s="363">
        <v>0</v>
      </c>
      <c r="BI282" s="363">
        <v>0</v>
      </c>
      <c r="BJ282" s="363">
        <v>0</v>
      </c>
      <c r="BK282" s="363">
        <v>0</v>
      </c>
      <c r="BL282" s="363">
        <v>0</v>
      </c>
      <c r="BM282" s="363">
        <v>0</v>
      </c>
      <c r="BN282" s="363">
        <v>0</v>
      </c>
      <c r="BO282" s="363">
        <v>0</v>
      </c>
      <c r="BP282" s="363">
        <v>0</v>
      </c>
      <c r="BQ282" s="363">
        <v>0</v>
      </c>
      <c r="BR282" s="363">
        <v>0</v>
      </c>
      <c r="BS282" s="363">
        <v>0</v>
      </c>
      <c r="BT282" s="363">
        <v>0</v>
      </c>
      <c r="BU282" s="363">
        <v>0</v>
      </c>
      <c r="BV282" s="363">
        <v>0</v>
      </c>
      <c r="BW282" s="363">
        <v>0</v>
      </c>
      <c r="BX282" s="363">
        <v>0</v>
      </c>
      <c r="BY282" s="363">
        <v>0</v>
      </c>
      <c r="BZ282" s="363">
        <v>0</v>
      </c>
      <c r="CA282" s="363">
        <v>0</v>
      </c>
      <c r="CB282" s="363">
        <v>0</v>
      </c>
      <c r="CC282" s="363">
        <v>0</v>
      </c>
      <c r="CD282" s="363">
        <v>0</v>
      </c>
      <c r="CE282" s="363">
        <v>0</v>
      </c>
      <c r="CF282" s="363">
        <v>0</v>
      </c>
      <c r="CG282" s="363">
        <v>0</v>
      </c>
      <c r="CH282" s="363">
        <v>0</v>
      </c>
      <c r="CI282" s="363">
        <v>0</v>
      </c>
      <c r="CJ282" s="363">
        <v>0</v>
      </c>
      <c r="CK282" s="363">
        <v>0</v>
      </c>
      <c r="CL282" s="363">
        <v>0</v>
      </c>
      <c r="CM282" s="363">
        <v>0</v>
      </c>
      <c r="CN282" s="363">
        <v>0</v>
      </c>
      <c r="CO282" s="363">
        <v>0</v>
      </c>
      <c r="CP282" s="363">
        <v>0</v>
      </c>
      <c r="CQ282" s="363">
        <v>0</v>
      </c>
      <c r="CR282" s="363">
        <v>0</v>
      </c>
      <c r="CS282" s="363">
        <v>0</v>
      </c>
      <c r="CT282" s="363">
        <v>0</v>
      </c>
      <c r="CU282" s="363">
        <v>0</v>
      </c>
      <c r="CV282" s="363">
        <v>0</v>
      </c>
      <c r="CW282" s="363">
        <v>0</v>
      </c>
      <c r="CX282" s="363">
        <v>0</v>
      </c>
      <c r="CY282" s="363">
        <v>0</v>
      </c>
      <c r="CZ282" s="363">
        <v>0</v>
      </c>
      <c r="DA282" s="363">
        <v>0</v>
      </c>
      <c r="DB282" s="363">
        <v>0</v>
      </c>
      <c r="DC282" s="363">
        <v>0</v>
      </c>
      <c r="DD282" s="363">
        <v>0</v>
      </c>
      <c r="DE282" s="363">
        <v>0</v>
      </c>
      <c r="DF282" s="363">
        <v>0</v>
      </c>
      <c r="DG282" s="363">
        <v>0</v>
      </c>
      <c r="DH282" s="363">
        <v>0</v>
      </c>
      <c r="DI282" s="363">
        <v>0</v>
      </c>
      <c r="DJ282" s="363">
        <v>0</v>
      </c>
      <c r="DK282" s="363">
        <v>0</v>
      </c>
      <c r="DL282" s="363">
        <v>0</v>
      </c>
      <c r="DM282" s="363">
        <v>0</v>
      </c>
      <c r="DN282" s="363">
        <v>0</v>
      </c>
      <c r="DO282" s="363">
        <v>0</v>
      </c>
      <c r="DP282" s="363">
        <v>0</v>
      </c>
      <c r="DQ282" s="363">
        <v>0</v>
      </c>
      <c r="DR282" s="363">
        <v>0</v>
      </c>
      <c r="DS282" s="363">
        <v>0</v>
      </c>
      <c r="DT282" s="363">
        <v>0</v>
      </c>
      <c r="DU282" s="363">
        <v>0</v>
      </c>
      <c r="DV282" s="363">
        <v>0</v>
      </c>
      <c r="DW282" s="544">
        <f t="shared" si="36"/>
        <v>0</v>
      </c>
      <c r="DX282" s="898"/>
      <c r="DY282" s="705"/>
      <c r="DZ282" s="871"/>
      <c r="EA282" s="873"/>
      <c r="EB282" s="859"/>
      <c r="EC282" s="859"/>
      <c r="ED282" s="859"/>
      <c r="EE282" s="859"/>
      <c r="EF282" s="861"/>
      <c r="EG282" s="1106"/>
      <c r="EI282" s="858"/>
      <c r="EJ282" s="877"/>
      <c r="ER282" s="497"/>
    </row>
    <row r="283" spans="1:148" s="278" customFormat="1" ht="12.75" outlineLevel="2" thickBot="1" x14ac:dyDescent="0.25">
      <c r="A283" s="894"/>
      <c r="B283" s="887"/>
      <c r="C283" s="904"/>
      <c r="D283" s="865"/>
      <c r="E283" s="868"/>
      <c r="F283" s="315" t="s">
        <v>211</v>
      </c>
      <c r="G283" s="364">
        <v>0</v>
      </c>
      <c r="H283" s="364">
        <v>0</v>
      </c>
      <c r="I283" s="364">
        <v>0</v>
      </c>
      <c r="J283" s="364">
        <v>0</v>
      </c>
      <c r="K283" s="364">
        <v>0</v>
      </c>
      <c r="L283" s="364">
        <v>0</v>
      </c>
      <c r="M283" s="364">
        <v>0</v>
      </c>
      <c r="N283" s="364">
        <v>0</v>
      </c>
      <c r="O283" s="364">
        <v>0</v>
      </c>
      <c r="P283" s="364">
        <v>0</v>
      </c>
      <c r="Q283" s="364">
        <v>0</v>
      </c>
      <c r="R283" s="364">
        <v>0</v>
      </c>
      <c r="S283" s="364">
        <v>0</v>
      </c>
      <c r="T283" s="364">
        <v>0</v>
      </c>
      <c r="U283" s="364">
        <v>0</v>
      </c>
      <c r="V283" s="364">
        <v>0</v>
      </c>
      <c r="W283" s="364">
        <v>0</v>
      </c>
      <c r="X283" s="364">
        <v>0</v>
      </c>
      <c r="Y283" s="364">
        <v>0</v>
      </c>
      <c r="Z283" s="364">
        <v>0</v>
      </c>
      <c r="AA283" s="364">
        <v>0</v>
      </c>
      <c r="AB283" s="364">
        <v>0</v>
      </c>
      <c r="AC283" s="364">
        <v>0</v>
      </c>
      <c r="AD283" s="364">
        <v>0</v>
      </c>
      <c r="AE283" s="364">
        <v>0</v>
      </c>
      <c r="AF283" s="364">
        <v>0</v>
      </c>
      <c r="AG283" s="364">
        <v>0</v>
      </c>
      <c r="AH283" s="364">
        <v>0</v>
      </c>
      <c r="AI283" s="364">
        <v>0</v>
      </c>
      <c r="AJ283" s="364">
        <v>0</v>
      </c>
      <c r="AK283" s="364">
        <v>0</v>
      </c>
      <c r="AL283" s="364">
        <v>0</v>
      </c>
      <c r="AM283" s="364">
        <v>0</v>
      </c>
      <c r="AN283" s="364">
        <v>0</v>
      </c>
      <c r="AO283" s="364">
        <v>0</v>
      </c>
      <c r="AP283" s="364">
        <v>0</v>
      </c>
      <c r="AQ283" s="364">
        <v>0</v>
      </c>
      <c r="AR283" s="364">
        <v>0</v>
      </c>
      <c r="AS283" s="364">
        <v>0</v>
      </c>
      <c r="AT283" s="364">
        <v>0</v>
      </c>
      <c r="AU283" s="364">
        <v>0</v>
      </c>
      <c r="AV283" s="364">
        <v>0</v>
      </c>
      <c r="AW283" s="364">
        <v>0</v>
      </c>
      <c r="AX283" s="364">
        <v>0</v>
      </c>
      <c r="AY283" s="364">
        <v>0</v>
      </c>
      <c r="AZ283" s="364">
        <v>0</v>
      </c>
      <c r="BA283" s="364">
        <v>0</v>
      </c>
      <c r="BB283" s="364">
        <v>0</v>
      </c>
      <c r="BC283" s="363">
        <v>0</v>
      </c>
      <c r="BD283" s="363">
        <v>0</v>
      </c>
      <c r="BE283" s="363">
        <v>0</v>
      </c>
      <c r="BF283" s="363">
        <v>0</v>
      </c>
      <c r="BG283" s="363">
        <v>0</v>
      </c>
      <c r="BH283" s="363">
        <v>0</v>
      </c>
      <c r="BI283" s="363">
        <v>0</v>
      </c>
      <c r="BJ283" s="363">
        <v>0</v>
      </c>
      <c r="BK283" s="363">
        <v>0</v>
      </c>
      <c r="BL283" s="363">
        <v>0</v>
      </c>
      <c r="BM283" s="363">
        <v>0</v>
      </c>
      <c r="BN283" s="363">
        <v>0</v>
      </c>
      <c r="BO283" s="363">
        <v>0</v>
      </c>
      <c r="BP283" s="363">
        <v>0</v>
      </c>
      <c r="BQ283" s="363">
        <v>0</v>
      </c>
      <c r="BR283" s="363">
        <v>0</v>
      </c>
      <c r="BS283" s="363">
        <v>0</v>
      </c>
      <c r="BT283" s="363">
        <v>0</v>
      </c>
      <c r="BU283" s="363">
        <v>0</v>
      </c>
      <c r="BV283" s="363">
        <v>0</v>
      </c>
      <c r="BW283" s="363">
        <v>0</v>
      </c>
      <c r="BX283" s="363">
        <v>0</v>
      </c>
      <c r="BY283" s="363">
        <v>0</v>
      </c>
      <c r="BZ283" s="363">
        <v>0</v>
      </c>
      <c r="CA283" s="363">
        <v>0</v>
      </c>
      <c r="CB283" s="363">
        <v>0</v>
      </c>
      <c r="CC283" s="363">
        <v>0</v>
      </c>
      <c r="CD283" s="363">
        <v>0</v>
      </c>
      <c r="CE283" s="363">
        <v>0</v>
      </c>
      <c r="CF283" s="363">
        <v>0</v>
      </c>
      <c r="CG283" s="363">
        <v>0</v>
      </c>
      <c r="CH283" s="363">
        <v>0</v>
      </c>
      <c r="CI283" s="363">
        <v>0</v>
      </c>
      <c r="CJ283" s="363">
        <v>0</v>
      </c>
      <c r="CK283" s="363">
        <v>0</v>
      </c>
      <c r="CL283" s="363">
        <v>0</v>
      </c>
      <c r="CM283" s="363">
        <v>0</v>
      </c>
      <c r="CN283" s="363">
        <v>0</v>
      </c>
      <c r="CO283" s="363">
        <v>0</v>
      </c>
      <c r="CP283" s="363">
        <v>0</v>
      </c>
      <c r="CQ283" s="363">
        <v>0</v>
      </c>
      <c r="CR283" s="363">
        <v>0</v>
      </c>
      <c r="CS283" s="363">
        <v>0</v>
      </c>
      <c r="CT283" s="363">
        <v>0</v>
      </c>
      <c r="CU283" s="363">
        <v>0</v>
      </c>
      <c r="CV283" s="363">
        <v>0</v>
      </c>
      <c r="CW283" s="363">
        <v>0</v>
      </c>
      <c r="CX283" s="363">
        <v>0</v>
      </c>
      <c r="CY283" s="363">
        <v>0</v>
      </c>
      <c r="CZ283" s="363">
        <v>0</v>
      </c>
      <c r="DA283" s="363">
        <v>0</v>
      </c>
      <c r="DB283" s="363">
        <v>0</v>
      </c>
      <c r="DC283" s="363">
        <v>0</v>
      </c>
      <c r="DD283" s="363">
        <v>0</v>
      </c>
      <c r="DE283" s="363">
        <v>0</v>
      </c>
      <c r="DF283" s="363">
        <v>0</v>
      </c>
      <c r="DG283" s="363">
        <v>0</v>
      </c>
      <c r="DH283" s="363">
        <v>0</v>
      </c>
      <c r="DI283" s="363">
        <v>0</v>
      </c>
      <c r="DJ283" s="363">
        <v>0</v>
      </c>
      <c r="DK283" s="363">
        <v>0</v>
      </c>
      <c r="DL283" s="363">
        <v>0</v>
      </c>
      <c r="DM283" s="363">
        <v>0</v>
      </c>
      <c r="DN283" s="363">
        <v>0</v>
      </c>
      <c r="DO283" s="363">
        <v>0</v>
      </c>
      <c r="DP283" s="363">
        <v>0</v>
      </c>
      <c r="DQ283" s="363">
        <v>0</v>
      </c>
      <c r="DR283" s="364">
        <v>0</v>
      </c>
      <c r="DS283" s="364">
        <v>0</v>
      </c>
      <c r="DT283" s="364">
        <v>0</v>
      </c>
      <c r="DU283" s="364">
        <v>0</v>
      </c>
      <c r="DV283" s="364">
        <v>0</v>
      </c>
      <c r="DW283" s="545">
        <f t="shared" si="36"/>
        <v>0</v>
      </c>
      <c r="DX283" s="898"/>
      <c r="DY283" s="706"/>
      <c r="DZ283" s="872"/>
      <c r="EA283" s="873"/>
      <c r="EB283" s="859"/>
      <c r="EC283" s="859"/>
      <c r="ED283" s="859"/>
      <c r="EE283" s="859"/>
      <c r="EF283" s="861"/>
      <c r="EG283" s="1107"/>
      <c r="EI283" s="858"/>
      <c r="EJ283" s="877"/>
      <c r="ER283" s="497"/>
    </row>
    <row r="284" spans="1:148" s="278" customFormat="1" ht="24" outlineLevel="2" x14ac:dyDescent="0.2">
      <c r="A284" s="892"/>
      <c r="B284" s="897" t="s">
        <v>181</v>
      </c>
      <c r="C284" s="902">
        <v>5</v>
      </c>
      <c r="D284" s="863">
        <f>+IFERROR(VLOOKUP(B284,'Detalle Plan de Adquisiciones'!$G$6:$M$66,7,FALSE),0)</f>
        <v>0</v>
      </c>
      <c r="E284" s="866" t="str">
        <f>+'Detalle Plan de Adquisiciones'!F64</f>
        <v>PARADERO CON ESPACIO PUBLICO 15 T 9 X C 6B</v>
      </c>
      <c r="F284" s="312" t="s">
        <v>410</v>
      </c>
      <c r="G284" s="354">
        <v>0</v>
      </c>
      <c r="H284" s="354">
        <v>0</v>
      </c>
      <c r="I284" s="354">
        <v>0</v>
      </c>
      <c r="J284" s="354">
        <v>0</v>
      </c>
      <c r="K284" s="354">
        <v>0</v>
      </c>
      <c r="L284" s="354">
        <v>0</v>
      </c>
      <c r="M284" s="354">
        <v>0</v>
      </c>
      <c r="N284" s="354">
        <v>0</v>
      </c>
      <c r="O284" s="354">
        <v>0</v>
      </c>
      <c r="P284" s="354">
        <v>0</v>
      </c>
      <c r="Q284" s="354">
        <v>0</v>
      </c>
      <c r="R284" s="354">
        <v>0</v>
      </c>
      <c r="S284" s="354">
        <v>0</v>
      </c>
      <c r="T284" s="354">
        <v>0</v>
      </c>
      <c r="U284" s="354">
        <v>0</v>
      </c>
      <c r="V284" s="354">
        <v>0</v>
      </c>
      <c r="W284" s="354">
        <v>0</v>
      </c>
      <c r="X284" s="354">
        <v>0</v>
      </c>
      <c r="Y284" s="354">
        <v>0</v>
      </c>
      <c r="Z284" s="354">
        <v>0</v>
      </c>
      <c r="AA284" s="354">
        <v>0</v>
      </c>
      <c r="AB284" s="354">
        <v>0</v>
      </c>
      <c r="AC284" s="354">
        <v>0</v>
      </c>
      <c r="AD284" s="354">
        <v>0</v>
      </c>
      <c r="AE284" s="354">
        <v>0</v>
      </c>
      <c r="AF284" s="354">
        <v>0</v>
      </c>
      <c r="AG284" s="354">
        <v>0</v>
      </c>
      <c r="AH284" s="354">
        <v>0</v>
      </c>
      <c r="AI284" s="354">
        <v>0</v>
      </c>
      <c r="AJ284" s="354">
        <v>0</v>
      </c>
      <c r="AK284" s="354">
        <v>0</v>
      </c>
      <c r="AL284" s="354">
        <v>0</v>
      </c>
      <c r="AM284" s="354">
        <v>0</v>
      </c>
      <c r="AN284" s="354">
        <v>0</v>
      </c>
      <c r="AO284" s="354">
        <v>0</v>
      </c>
      <c r="AP284" s="354">
        <v>0</v>
      </c>
      <c r="AQ284" s="354">
        <v>0</v>
      </c>
      <c r="AR284" s="354">
        <v>0</v>
      </c>
      <c r="AS284" s="354">
        <v>0</v>
      </c>
      <c r="AT284" s="354">
        <v>0</v>
      </c>
      <c r="AU284" s="354">
        <v>0</v>
      </c>
      <c r="AV284" s="354">
        <v>0</v>
      </c>
      <c r="AW284" s="354">
        <v>0</v>
      </c>
      <c r="AX284" s="354">
        <v>0</v>
      </c>
      <c r="AY284" s="354">
        <v>0</v>
      </c>
      <c r="AZ284" s="354">
        <v>0</v>
      </c>
      <c r="BA284" s="354">
        <v>0</v>
      </c>
      <c r="BB284" s="354">
        <v>0</v>
      </c>
      <c r="BC284" s="363">
        <v>0</v>
      </c>
      <c r="BD284" s="363">
        <v>0</v>
      </c>
      <c r="BE284" s="363">
        <v>0</v>
      </c>
      <c r="BF284" s="363">
        <v>0</v>
      </c>
      <c r="BG284" s="363">
        <v>0</v>
      </c>
      <c r="BH284" s="363">
        <v>0</v>
      </c>
      <c r="BI284" s="363">
        <v>0</v>
      </c>
      <c r="BJ284" s="363">
        <v>0</v>
      </c>
      <c r="BK284" s="363">
        <v>0</v>
      </c>
      <c r="BL284" s="363">
        <v>0</v>
      </c>
      <c r="BM284" s="363">
        <v>0</v>
      </c>
      <c r="BN284" s="363">
        <v>0</v>
      </c>
      <c r="BO284" s="363">
        <v>0</v>
      </c>
      <c r="BP284" s="363">
        <v>0</v>
      </c>
      <c r="BQ284" s="363">
        <v>0</v>
      </c>
      <c r="BR284" s="363">
        <v>0</v>
      </c>
      <c r="BS284" s="363">
        <v>0</v>
      </c>
      <c r="BT284" s="363">
        <v>0</v>
      </c>
      <c r="BU284" s="363">
        <v>0</v>
      </c>
      <c r="BV284" s="363">
        <v>0</v>
      </c>
      <c r="BW284" s="363">
        <v>0</v>
      </c>
      <c r="BX284" s="363">
        <v>0</v>
      </c>
      <c r="BY284" s="363">
        <v>0</v>
      </c>
      <c r="BZ284" s="363">
        <v>0</v>
      </c>
      <c r="CA284" s="363">
        <v>0</v>
      </c>
      <c r="CB284" s="363">
        <v>0</v>
      </c>
      <c r="CC284" s="363">
        <v>0</v>
      </c>
      <c r="CD284" s="363">
        <v>0</v>
      </c>
      <c r="CE284" s="363">
        <v>0</v>
      </c>
      <c r="CF284" s="363">
        <v>0</v>
      </c>
      <c r="CG284" s="363">
        <v>0</v>
      </c>
      <c r="CH284" s="363">
        <v>0</v>
      </c>
      <c r="CI284" s="363">
        <v>0</v>
      </c>
      <c r="CJ284" s="363">
        <v>0</v>
      </c>
      <c r="CK284" s="363">
        <v>0</v>
      </c>
      <c r="CL284" s="363">
        <v>0</v>
      </c>
      <c r="CM284" s="363">
        <v>0</v>
      </c>
      <c r="CN284" s="363">
        <v>0</v>
      </c>
      <c r="CO284" s="363">
        <v>0</v>
      </c>
      <c r="CP284" s="363">
        <v>0</v>
      </c>
      <c r="CQ284" s="363">
        <v>0</v>
      </c>
      <c r="CR284" s="363">
        <v>0</v>
      </c>
      <c r="CS284" s="363">
        <v>0</v>
      </c>
      <c r="CT284" s="363">
        <v>0</v>
      </c>
      <c r="CU284" s="363">
        <v>0</v>
      </c>
      <c r="CV284" s="363">
        <v>0</v>
      </c>
      <c r="CW284" s="363">
        <v>0</v>
      </c>
      <c r="CX284" s="363">
        <v>0</v>
      </c>
      <c r="CY284" s="363">
        <v>0</v>
      </c>
      <c r="CZ284" s="363">
        <v>0</v>
      </c>
      <c r="DA284" s="363">
        <v>0</v>
      </c>
      <c r="DB284" s="363">
        <v>0</v>
      </c>
      <c r="DC284" s="363">
        <v>0</v>
      </c>
      <c r="DD284" s="363">
        <v>0</v>
      </c>
      <c r="DE284" s="363">
        <v>0</v>
      </c>
      <c r="DF284" s="363">
        <v>0</v>
      </c>
      <c r="DG284" s="363">
        <v>0</v>
      </c>
      <c r="DH284" s="363">
        <v>0</v>
      </c>
      <c r="DI284" s="363">
        <v>0</v>
      </c>
      <c r="DJ284" s="363">
        <v>0</v>
      </c>
      <c r="DK284" s="363">
        <v>0</v>
      </c>
      <c r="DL284" s="363">
        <v>0</v>
      </c>
      <c r="DM284" s="363">
        <v>0</v>
      </c>
      <c r="DN284" s="363">
        <v>0</v>
      </c>
      <c r="DO284" s="363">
        <v>0</v>
      </c>
      <c r="DP284" s="363">
        <v>0</v>
      </c>
      <c r="DQ284" s="363">
        <v>0</v>
      </c>
      <c r="DR284" s="354">
        <v>0</v>
      </c>
      <c r="DS284" s="354">
        <v>0</v>
      </c>
      <c r="DT284" s="354">
        <v>0</v>
      </c>
      <c r="DU284" s="354">
        <v>0</v>
      </c>
      <c r="DV284" s="354">
        <v>0</v>
      </c>
      <c r="DW284" s="543">
        <f t="shared" si="36"/>
        <v>0</v>
      </c>
      <c r="DX284" s="858">
        <f>DW284+DW285+DW286</f>
        <v>0</v>
      </c>
      <c r="DY284" s="704">
        <f>+DX284*1000000</f>
        <v>0</v>
      </c>
      <c r="DZ284" s="870">
        <f>+DY284-D284</f>
        <v>0</v>
      </c>
      <c r="EA284" s="873" t="str">
        <f>VLOOKUP(POA!$B284,'Detalle Plan de Adquisiciones'!$G$6:$AF$66,23,0)</f>
        <v>N/A</v>
      </c>
      <c r="EB284" s="859" t="str">
        <f>VLOOKUP(POA!$B284,'Detalle Plan de Adquisiciones'!$G$6:$AF$66,25,0)</f>
        <v>N/A</v>
      </c>
      <c r="EC284" s="859" t="e">
        <f>EB284+30</f>
        <v>#VALUE!</v>
      </c>
      <c r="ED284" s="859" t="e">
        <f>CONCATENATE(MONTH(EA284),"-",YEAR(EA284))</f>
        <v>#VALUE!</v>
      </c>
      <c r="EE284" s="859" t="e">
        <f>CONCATENATE(MONTH(EB284),"-",YEAR(EB284))</f>
        <v>#VALUE!</v>
      </c>
      <c r="EF284" s="861" t="e">
        <f>CONCATENATE(MONTH(EC284),"-",YEAR(EC284))</f>
        <v>#VALUE!</v>
      </c>
      <c r="EG284" s="1105" t="e">
        <f>+YEAR(EA284)</f>
        <v>#VALUE!</v>
      </c>
      <c r="EI284" s="858">
        <f>+DW284+DW285+DW286</f>
        <v>0</v>
      </c>
      <c r="EJ284" s="877">
        <f>+D284/1000000-EI284</f>
        <v>0</v>
      </c>
      <c r="ER284" s="497"/>
    </row>
    <row r="285" spans="1:148" s="278" customFormat="1" outlineLevel="2" x14ac:dyDescent="0.2">
      <c r="A285" s="893"/>
      <c r="B285" s="886"/>
      <c r="C285" s="903"/>
      <c r="D285" s="864"/>
      <c r="E285" s="867"/>
      <c r="F285" s="311" t="s">
        <v>210</v>
      </c>
      <c r="G285" s="363">
        <v>0</v>
      </c>
      <c r="H285" s="363">
        <v>0</v>
      </c>
      <c r="I285" s="363">
        <v>0</v>
      </c>
      <c r="J285" s="363">
        <v>0</v>
      </c>
      <c r="K285" s="363">
        <v>0</v>
      </c>
      <c r="L285" s="363">
        <v>0</v>
      </c>
      <c r="M285" s="363">
        <v>0</v>
      </c>
      <c r="N285" s="363">
        <v>0</v>
      </c>
      <c r="O285" s="363">
        <v>0</v>
      </c>
      <c r="P285" s="363">
        <v>0</v>
      </c>
      <c r="Q285" s="363">
        <v>0</v>
      </c>
      <c r="R285" s="363">
        <v>0</v>
      </c>
      <c r="S285" s="363">
        <v>0</v>
      </c>
      <c r="T285" s="363">
        <v>0</v>
      </c>
      <c r="U285" s="363">
        <v>0</v>
      </c>
      <c r="V285" s="363">
        <v>0</v>
      </c>
      <c r="W285" s="363">
        <v>0</v>
      </c>
      <c r="X285" s="363">
        <v>0</v>
      </c>
      <c r="Y285" s="363">
        <v>0</v>
      </c>
      <c r="Z285" s="363">
        <v>0</v>
      </c>
      <c r="AA285" s="363">
        <v>0</v>
      </c>
      <c r="AB285" s="363">
        <v>0</v>
      </c>
      <c r="AC285" s="363">
        <v>0</v>
      </c>
      <c r="AD285" s="363">
        <v>0</v>
      </c>
      <c r="AE285" s="363">
        <v>0</v>
      </c>
      <c r="AF285" s="363">
        <v>0</v>
      </c>
      <c r="AG285" s="363">
        <v>0</v>
      </c>
      <c r="AH285" s="363">
        <v>0</v>
      </c>
      <c r="AI285" s="363">
        <v>0</v>
      </c>
      <c r="AJ285" s="363">
        <v>0</v>
      </c>
      <c r="AK285" s="363">
        <v>0</v>
      </c>
      <c r="AL285" s="363">
        <v>0</v>
      </c>
      <c r="AM285" s="363">
        <v>0</v>
      </c>
      <c r="AN285" s="363">
        <v>0</v>
      </c>
      <c r="AO285" s="363">
        <v>0</v>
      </c>
      <c r="AP285" s="363">
        <v>0</v>
      </c>
      <c r="AQ285" s="363">
        <v>0</v>
      </c>
      <c r="AR285" s="363">
        <v>0</v>
      </c>
      <c r="AS285" s="363">
        <v>0</v>
      </c>
      <c r="AT285" s="363">
        <v>0</v>
      </c>
      <c r="AU285" s="363">
        <v>0</v>
      </c>
      <c r="AV285" s="363">
        <v>0</v>
      </c>
      <c r="AW285" s="363">
        <v>0</v>
      </c>
      <c r="AX285" s="363">
        <v>0</v>
      </c>
      <c r="AY285" s="363">
        <v>0</v>
      </c>
      <c r="AZ285" s="363">
        <v>0</v>
      </c>
      <c r="BA285" s="363">
        <v>0</v>
      </c>
      <c r="BB285" s="363">
        <v>0</v>
      </c>
      <c r="BC285" s="363">
        <v>0</v>
      </c>
      <c r="BD285" s="363">
        <v>0</v>
      </c>
      <c r="BE285" s="363">
        <v>0</v>
      </c>
      <c r="BF285" s="363">
        <v>0</v>
      </c>
      <c r="BG285" s="363">
        <v>0</v>
      </c>
      <c r="BH285" s="363">
        <v>0</v>
      </c>
      <c r="BI285" s="363">
        <v>0</v>
      </c>
      <c r="BJ285" s="363">
        <v>0</v>
      </c>
      <c r="BK285" s="363">
        <v>0</v>
      </c>
      <c r="BL285" s="363">
        <v>0</v>
      </c>
      <c r="BM285" s="363">
        <v>0</v>
      </c>
      <c r="BN285" s="363">
        <v>0</v>
      </c>
      <c r="BO285" s="363">
        <v>0</v>
      </c>
      <c r="BP285" s="363">
        <v>0</v>
      </c>
      <c r="BQ285" s="363">
        <v>0</v>
      </c>
      <c r="BR285" s="363">
        <v>0</v>
      </c>
      <c r="BS285" s="363">
        <v>0</v>
      </c>
      <c r="BT285" s="363">
        <v>0</v>
      </c>
      <c r="BU285" s="363">
        <v>0</v>
      </c>
      <c r="BV285" s="363">
        <v>0</v>
      </c>
      <c r="BW285" s="363">
        <v>0</v>
      </c>
      <c r="BX285" s="363">
        <v>0</v>
      </c>
      <c r="BY285" s="363">
        <v>0</v>
      </c>
      <c r="BZ285" s="363">
        <v>0</v>
      </c>
      <c r="CA285" s="363">
        <v>0</v>
      </c>
      <c r="CB285" s="363">
        <v>0</v>
      </c>
      <c r="CC285" s="363">
        <v>0</v>
      </c>
      <c r="CD285" s="363">
        <v>0</v>
      </c>
      <c r="CE285" s="363">
        <v>0</v>
      </c>
      <c r="CF285" s="363">
        <v>0</v>
      </c>
      <c r="CG285" s="363">
        <v>0</v>
      </c>
      <c r="CH285" s="363">
        <v>0</v>
      </c>
      <c r="CI285" s="363">
        <v>0</v>
      </c>
      <c r="CJ285" s="363">
        <v>0</v>
      </c>
      <c r="CK285" s="363">
        <v>0</v>
      </c>
      <c r="CL285" s="363">
        <v>0</v>
      </c>
      <c r="CM285" s="363">
        <v>0</v>
      </c>
      <c r="CN285" s="363">
        <v>0</v>
      </c>
      <c r="CO285" s="363">
        <v>0</v>
      </c>
      <c r="CP285" s="363">
        <v>0</v>
      </c>
      <c r="CQ285" s="363">
        <v>0</v>
      </c>
      <c r="CR285" s="363">
        <v>0</v>
      </c>
      <c r="CS285" s="363">
        <v>0</v>
      </c>
      <c r="CT285" s="363">
        <v>0</v>
      </c>
      <c r="CU285" s="363">
        <v>0</v>
      </c>
      <c r="CV285" s="363">
        <v>0</v>
      </c>
      <c r="CW285" s="363">
        <v>0</v>
      </c>
      <c r="CX285" s="363">
        <v>0</v>
      </c>
      <c r="CY285" s="363">
        <v>0</v>
      </c>
      <c r="CZ285" s="363">
        <v>0</v>
      </c>
      <c r="DA285" s="363">
        <v>0</v>
      </c>
      <c r="DB285" s="363">
        <v>0</v>
      </c>
      <c r="DC285" s="363">
        <v>0</v>
      </c>
      <c r="DD285" s="363">
        <v>0</v>
      </c>
      <c r="DE285" s="363">
        <v>0</v>
      </c>
      <c r="DF285" s="363">
        <v>0</v>
      </c>
      <c r="DG285" s="363">
        <v>0</v>
      </c>
      <c r="DH285" s="363">
        <v>0</v>
      </c>
      <c r="DI285" s="363">
        <v>0</v>
      </c>
      <c r="DJ285" s="363">
        <v>0</v>
      </c>
      <c r="DK285" s="363">
        <v>0</v>
      </c>
      <c r="DL285" s="363">
        <v>0</v>
      </c>
      <c r="DM285" s="363">
        <v>0</v>
      </c>
      <c r="DN285" s="363">
        <v>0</v>
      </c>
      <c r="DO285" s="363">
        <v>0</v>
      </c>
      <c r="DP285" s="363">
        <v>0</v>
      </c>
      <c r="DQ285" s="363">
        <v>0</v>
      </c>
      <c r="DR285" s="363">
        <v>0</v>
      </c>
      <c r="DS285" s="363">
        <v>0</v>
      </c>
      <c r="DT285" s="363">
        <v>0</v>
      </c>
      <c r="DU285" s="363">
        <v>0</v>
      </c>
      <c r="DV285" s="363">
        <v>0</v>
      </c>
      <c r="DW285" s="544">
        <f t="shared" si="36"/>
        <v>0</v>
      </c>
      <c r="DX285" s="858"/>
      <c r="DY285" s="705"/>
      <c r="DZ285" s="871"/>
      <c r="EA285" s="873"/>
      <c r="EB285" s="859"/>
      <c r="EC285" s="859"/>
      <c r="ED285" s="859"/>
      <c r="EE285" s="859"/>
      <c r="EF285" s="861"/>
      <c r="EG285" s="1106"/>
      <c r="EI285" s="858"/>
      <c r="EJ285" s="877"/>
      <c r="ER285" s="497"/>
    </row>
    <row r="286" spans="1:148" s="278" customFormat="1" ht="12.75" outlineLevel="2" thickBot="1" x14ac:dyDescent="0.25">
      <c r="A286" s="894"/>
      <c r="B286" s="887"/>
      <c r="C286" s="904"/>
      <c r="D286" s="865"/>
      <c r="E286" s="868"/>
      <c r="F286" s="315" t="s">
        <v>211</v>
      </c>
      <c r="G286" s="364">
        <v>0</v>
      </c>
      <c r="H286" s="364">
        <v>0</v>
      </c>
      <c r="I286" s="364">
        <v>0</v>
      </c>
      <c r="J286" s="364">
        <v>0</v>
      </c>
      <c r="K286" s="364">
        <v>0</v>
      </c>
      <c r="L286" s="364">
        <v>0</v>
      </c>
      <c r="M286" s="364">
        <v>0</v>
      </c>
      <c r="N286" s="364">
        <v>0</v>
      </c>
      <c r="O286" s="364">
        <v>0</v>
      </c>
      <c r="P286" s="364">
        <v>0</v>
      </c>
      <c r="Q286" s="364">
        <v>0</v>
      </c>
      <c r="R286" s="364">
        <v>0</v>
      </c>
      <c r="S286" s="364">
        <v>0</v>
      </c>
      <c r="T286" s="364">
        <v>0</v>
      </c>
      <c r="U286" s="364">
        <v>0</v>
      </c>
      <c r="V286" s="364">
        <v>0</v>
      </c>
      <c r="W286" s="364">
        <v>0</v>
      </c>
      <c r="X286" s="364">
        <v>0</v>
      </c>
      <c r="Y286" s="364">
        <v>0</v>
      </c>
      <c r="Z286" s="364">
        <v>0</v>
      </c>
      <c r="AA286" s="364">
        <v>0</v>
      </c>
      <c r="AB286" s="364">
        <v>0</v>
      </c>
      <c r="AC286" s="364">
        <v>0</v>
      </c>
      <c r="AD286" s="364">
        <v>0</v>
      </c>
      <c r="AE286" s="364">
        <v>0</v>
      </c>
      <c r="AF286" s="364">
        <v>0</v>
      </c>
      <c r="AG286" s="364">
        <v>0</v>
      </c>
      <c r="AH286" s="364">
        <v>0</v>
      </c>
      <c r="AI286" s="364">
        <v>0</v>
      </c>
      <c r="AJ286" s="364">
        <v>0</v>
      </c>
      <c r="AK286" s="364">
        <v>0</v>
      </c>
      <c r="AL286" s="364">
        <v>0</v>
      </c>
      <c r="AM286" s="364">
        <v>0</v>
      </c>
      <c r="AN286" s="364">
        <v>0</v>
      </c>
      <c r="AO286" s="364">
        <v>0</v>
      </c>
      <c r="AP286" s="364">
        <v>0</v>
      </c>
      <c r="AQ286" s="364">
        <v>0</v>
      </c>
      <c r="AR286" s="364">
        <v>0</v>
      </c>
      <c r="AS286" s="364">
        <v>0</v>
      </c>
      <c r="AT286" s="364">
        <v>0</v>
      </c>
      <c r="AU286" s="364">
        <v>0</v>
      </c>
      <c r="AV286" s="364">
        <v>0</v>
      </c>
      <c r="AW286" s="364">
        <v>0</v>
      </c>
      <c r="AX286" s="364">
        <v>0</v>
      </c>
      <c r="AY286" s="364">
        <v>0</v>
      </c>
      <c r="AZ286" s="364">
        <v>0</v>
      </c>
      <c r="BA286" s="364">
        <v>0</v>
      </c>
      <c r="BB286" s="364">
        <v>0</v>
      </c>
      <c r="BC286" s="363">
        <v>0</v>
      </c>
      <c r="BD286" s="363">
        <v>0</v>
      </c>
      <c r="BE286" s="363">
        <v>0</v>
      </c>
      <c r="BF286" s="363">
        <v>0</v>
      </c>
      <c r="BG286" s="363">
        <v>0</v>
      </c>
      <c r="BH286" s="363">
        <v>0</v>
      </c>
      <c r="BI286" s="363">
        <v>0</v>
      </c>
      <c r="BJ286" s="363">
        <v>0</v>
      </c>
      <c r="BK286" s="363">
        <v>0</v>
      </c>
      <c r="BL286" s="363">
        <v>0</v>
      </c>
      <c r="BM286" s="363">
        <v>0</v>
      </c>
      <c r="BN286" s="363">
        <v>0</v>
      </c>
      <c r="BO286" s="363">
        <v>0</v>
      </c>
      <c r="BP286" s="363">
        <v>0</v>
      </c>
      <c r="BQ286" s="363">
        <v>0</v>
      </c>
      <c r="BR286" s="363">
        <v>0</v>
      </c>
      <c r="BS286" s="363">
        <v>0</v>
      </c>
      <c r="BT286" s="363">
        <v>0</v>
      </c>
      <c r="BU286" s="363">
        <v>0</v>
      </c>
      <c r="BV286" s="363">
        <v>0</v>
      </c>
      <c r="BW286" s="363">
        <v>0</v>
      </c>
      <c r="BX286" s="363">
        <v>0</v>
      </c>
      <c r="BY286" s="363">
        <v>0</v>
      </c>
      <c r="BZ286" s="363">
        <v>0</v>
      </c>
      <c r="CA286" s="363">
        <v>0</v>
      </c>
      <c r="CB286" s="363">
        <v>0</v>
      </c>
      <c r="CC286" s="363">
        <v>0</v>
      </c>
      <c r="CD286" s="363">
        <v>0</v>
      </c>
      <c r="CE286" s="363">
        <v>0</v>
      </c>
      <c r="CF286" s="363">
        <v>0</v>
      </c>
      <c r="CG286" s="363">
        <v>0</v>
      </c>
      <c r="CH286" s="363">
        <v>0</v>
      </c>
      <c r="CI286" s="363">
        <v>0</v>
      </c>
      <c r="CJ286" s="363">
        <v>0</v>
      </c>
      <c r="CK286" s="363">
        <v>0</v>
      </c>
      <c r="CL286" s="363">
        <v>0</v>
      </c>
      <c r="CM286" s="363">
        <v>0</v>
      </c>
      <c r="CN286" s="363">
        <v>0</v>
      </c>
      <c r="CO286" s="363">
        <v>0</v>
      </c>
      <c r="CP286" s="363">
        <v>0</v>
      </c>
      <c r="CQ286" s="363">
        <v>0</v>
      </c>
      <c r="CR286" s="363">
        <v>0</v>
      </c>
      <c r="CS286" s="363">
        <v>0</v>
      </c>
      <c r="CT286" s="363">
        <v>0</v>
      </c>
      <c r="CU286" s="363">
        <v>0</v>
      </c>
      <c r="CV286" s="363">
        <v>0</v>
      </c>
      <c r="CW286" s="363">
        <v>0</v>
      </c>
      <c r="CX286" s="363">
        <v>0</v>
      </c>
      <c r="CY286" s="363">
        <v>0</v>
      </c>
      <c r="CZ286" s="363">
        <v>0</v>
      </c>
      <c r="DA286" s="363">
        <v>0</v>
      </c>
      <c r="DB286" s="363">
        <v>0</v>
      </c>
      <c r="DC286" s="363">
        <v>0</v>
      </c>
      <c r="DD286" s="363">
        <v>0</v>
      </c>
      <c r="DE286" s="363">
        <v>0</v>
      </c>
      <c r="DF286" s="363">
        <v>0</v>
      </c>
      <c r="DG286" s="363">
        <v>0</v>
      </c>
      <c r="DH286" s="363">
        <v>0</v>
      </c>
      <c r="DI286" s="363">
        <v>0</v>
      </c>
      <c r="DJ286" s="363">
        <v>0</v>
      </c>
      <c r="DK286" s="363">
        <v>0</v>
      </c>
      <c r="DL286" s="363">
        <v>0</v>
      </c>
      <c r="DM286" s="363">
        <v>0</v>
      </c>
      <c r="DN286" s="363">
        <v>0</v>
      </c>
      <c r="DO286" s="363">
        <v>0</v>
      </c>
      <c r="DP286" s="363">
        <v>0</v>
      </c>
      <c r="DQ286" s="363">
        <v>0</v>
      </c>
      <c r="DR286" s="364">
        <v>0</v>
      </c>
      <c r="DS286" s="364">
        <v>0</v>
      </c>
      <c r="DT286" s="364">
        <v>0</v>
      </c>
      <c r="DU286" s="364">
        <v>0</v>
      </c>
      <c r="DV286" s="364">
        <v>0</v>
      </c>
      <c r="DW286" s="545">
        <f t="shared" si="36"/>
        <v>0</v>
      </c>
      <c r="DX286" s="858"/>
      <c r="DY286" s="706"/>
      <c r="DZ286" s="872"/>
      <c r="EA286" s="873"/>
      <c r="EB286" s="859"/>
      <c r="EC286" s="859"/>
      <c r="ED286" s="859"/>
      <c r="EE286" s="859"/>
      <c r="EF286" s="861"/>
      <c r="EG286" s="1107"/>
      <c r="EI286" s="858"/>
      <c r="EJ286" s="877"/>
      <c r="ER286" s="497"/>
    </row>
    <row r="287" spans="1:148" s="278" customFormat="1" ht="24" outlineLevel="2" x14ac:dyDescent="0.2">
      <c r="A287" s="892"/>
      <c r="B287" s="897" t="s">
        <v>182</v>
      </c>
      <c r="C287" s="902">
        <v>5</v>
      </c>
      <c r="D287" s="863">
        <f>+IFERROR(VLOOKUP(B287,'Detalle Plan de Adquisiciones'!$G$6:$M$66,7,FALSE),0)</f>
        <v>0</v>
      </c>
      <c r="E287" s="866" t="str">
        <f>+'Detalle Plan de Adquisiciones'!F65</f>
        <v>PARADERO CON ESPACIO PUBLICO 16 T 12 X C 6</v>
      </c>
      <c r="F287" s="312" t="s">
        <v>410</v>
      </c>
      <c r="G287" s="354">
        <v>0</v>
      </c>
      <c r="H287" s="354">
        <v>0</v>
      </c>
      <c r="I287" s="354">
        <v>0</v>
      </c>
      <c r="J287" s="354">
        <v>0</v>
      </c>
      <c r="K287" s="354">
        <v>0</v>
      </c>
      <c r="L287" s="354">
        <v>0</v>
      </c>
      <c r="M287" s="354">
        <v>0</v>
      </c>
      <c r="N287" s="354">
        <v>0</v>
      </c>
      <c r="O287" s="354">
        <v>0</v>
      </c>
      <c r="P287" s="354">
        <v>0</v>
      </c>
      <c r="Q287" s="354">
        <v>0</v>
      </c>
      <c r="R287" s="354">
        <v>0</v>
      </c>
      <c r="S287" s="354">
        <v>0</v>
      </c>
      <c r="T287" s="354">
        <v>0</v>
      </c>
      <c r="U287" s="354">
        <v>0</v>
      </c>
      <c r="V287" s="354">
        <v>0</v>
      </c>
      <c r="W287" s="354">
        <v>0</v>
      </c>
      <c r="X287" s="354">
        <v>0</v>
      </c>
      <c r="Y287" s="354">
        <v>0</v>
      </c>
      <c r="Z287" s="354">
        <v>0</v>
      </c>
      <c r="AA287" s="354">
        <v>0</v>
      </c>
      <c r="AB287" s="354">
        <v>0</v>
      </c>
      <c r="AC287" s="354">
        <v>0</v>
      </c>
      <c r="AD287" s="354">
        <v>0</v>
      </c>
      <c r="AE287" s="354">
        <v>0</v>
      </c>
      <c r="AF287" s="354">
        <v>0</v>
      </c>
      <c r="AG287" s="354">
        <v>0</v>
      </c>
      <c r="AH287" s="354">
        <v>0</v>
      </c>
      <c r="AI287" s="354">
        <v>0</v>
      </c>
      <c r="AJ287" s="354">
        <v>0</v>
      </c>
      <c r="AK287" s="354">
        <v>0</v>
      </c>
      <c r="AL287" s="354">
        <v>0</v>
      </c>
      <c r="AM287" s="354">
        <v>0</v>
      </c>
      <c r="AN287" s="354">
        <v>0</v>
      </c>
      <c r="AO287" s="354">
        <v>0</v>
      </c>
      <c r="AP287" s="354">
        <v>0</v>
      </c>
      <c r="AQ287" s="354">
        <v>0</v>
      </c>
      <c r="AR287" s="354">
        <v>0</v>
      </c>
      <c r="AS287" s="354">
        <v>0</v>
      </c>
      <c r="AT287" s="354">
        <v>0</v>
      </c>
      <c r="AU287" s="354">
        <v>0</v>
      </c>
      <c r="AV287" s="354">
        <v>0</v>
      </c>
      <c r="AW287" s="354">
        <v>0</v>
      </c>
      <c r="AX287" s="354">
        <v>0</v>
      </c>
      <c r="AY287" s="354">
        <v>0</v>
      </c>
      <c r="AZ287" s="354">
        <v>0</v>
      </c>
      <c r="BA287" s="354">
        <v>0</v>
      </c>
      <c r="BB287" s="354">
        <v>0</v>
      </c>
      <c r="BC287" s="363">
        <v>0</v>
      </c>
      <c r="BD287" s="363">
        <v>0</v>
      </c>
      <c r="BE287" s="363">
        <v>0</v>
      </c>
      <c r="BF287" s="363">
        <v>0</v>
      </c>
      <c r="BG287" s="363">
        <v>0</v>
      </c>
      <c r="BH287" s="363">
        <v>0</v>
      </c>
      <c r="BI287" s="363">
        <v>0</v>
      </c>
      <c r="BJ287" s="363">
        <v>0</v>
      </c>
      <c r="BK287" s="363">
        <v>0</v>
      </c>
      <c r="BL287" s="363">
        <v>0</v>
      </c>
      <c r="BM287" s="363">
        <v>0</v>
      </c>
      <c r="BN287" s="363">
        <v>0</v>
      </c>
      <c r="BO287" s="363">
        <v>0</v>
      </c>
      <c r="BP287" s="363">
        <v>0</v>
      </c>
      <c r="BQ287" s="363">
        <v>0</v>
      </c>
      <c r="BR287" s="363">
        <v>0</v>
      </c>
      <c r="BS287" s="363">
        <v>0</v>
      </c>
      <c r="BT287" s="363">
        <v>0</v>
      </c>
      <c r="BU287" s="363">
        <v>0</v>
      </c>
      <c r="BV287" s="363">
        <v>0</v>
      </c>
      <c r="BW287" s="363">
        <v>0</v>
      </c>
      <c r="BX287" s="363">
        <v>0</v>
      </c>
      <c r="BY287" s="363">
        <v>0</v>
      </c>
      <c r="BZ287" s="363">
        <v>0</v>
      </c>
      <c r="CA287" s="363">
        <v>0</v>
      </c>
      <c r="CB287" s="363">
        <v>0</v>
      </c>
      <c r="CC287" s="363">
        <v>0</v>
      </c>
      <c r="CD287" s="363">
        <v>0</v>
      </c>
      <c r="CE287" s="363">
        <v>0</v>
      </c>
      <c r="CF287" s="363">
        <v>0</v>
      </c>
      <c r="CG287" s="363">
        <v>0</v>
      </c>
      <c r="CH287" s="363">
        <v>0</v>
      </c>
      <c r="CI287" s="363">
        <v>0</v>
      </c>
      <c r="CJ287" s="363">
        <v>0</v>
      </c>
      <c r="CK287" s="363">
        <v>0</v>
      </c>
      <c r="CL287" s="363">
        <v>0</v>
      </c>
      <c r="CM287" s="363">
        <v>0</v>
      </c>
      <c r="CN287" s="363">
        <v>0</v>
      </c>
      <c r="CO287" s="363">
        <v>0</v>
      </c>
      <c r="CP287" s="363">
        <v>0</v>
      </c>
      <c r="CQ287" s="363">
        <v>0</v>
      </c>
      <c r="CR287" s="363">
        <v>0</v>
      </c>
      <c r="CS287" s="363">
        <v>0</v>
      </c>
      <c r="CT287" s="363">
        <v>0</v>
      </c>
      <c r="CU287" s="363">
        <v>0</v>
      </c>
      <c r="CV287" s="363">
        <v>0</v>
      </c>
      <c r="CW287" s="363">
        <v>0</v>
      </c>
      <c r="CX287" s="363">
        <v>0</v>
      </c>
      <c r="CY287" s="363">
        <v>0</v>
      </c>
      <c r="CZ287" s="363">
        <v>0</v>
      </c>
      <c r="DA287" s="363">
        <v>0</v>
      </c>
      <c r="DB287" s="363">
        <v>0</v>
      </c>
      <c r="DC287" s="363">
        <v>0</v>
      </c>
      <c r="DD287" s="363">
        <v>0</v>
      </c>
      <c r="DE287" s="363">
        <v>0</v>
      </c>
      <c r="DF287" s="363">
        <v>0</v>
      </c>
      <c r="DG287" s="363">
        <v>0</v>
      </c>
      <c r="DH287" s="363">
        <v>0</v>
      </c>
      <c r="DI287" s="363">
        <v>0</v>
      </c>
      <c r="DJ287" s="363">
        <v>0</v>
      </c>
      <c r="DK287" s="363">
        <v>0</v>
      </c>
      <c r="DL287" s="363">
        <v>0</v>
      </c>
      <c r="DM287" s="363">
        <v>0</v>
      </c>
      <c r="DN287" s="363">
        <v>0</v>
      </c>
      <c r="DO287" s="363">
        <v>0</v>
      </c>
      <c r="DP287" s="363">
        <v>0</v>
      </c>
      <c r="DQ287" s="363">
        <v>0</v>
      </c>
      <c r="DR287" s="354">
        <v>0</v>
      </c>
      <c r="DS287" s="354">
        <v>0</v>
      </c>
      <c r="DT287" s="354">
        <v>0</v>
      </c>
      <c r="DU287" s="354">
        <v>0</v>
      </c>
      <c r="DV287" s="354">
        <v>0</v>
      </c>
      <c r="DW287" s="543">
        <f t="shared" si="36"/>
        <v>0</v>
      </c>
      <c r="DX287" s="858">
        <f>DW287+DW288+DW289</f>
        <v>0</v>
      </c>
      <c r="DY287" s="704">
        <f>+DX287*1000000</f>
        <v>0</v>
      </c>
      <c r="DZ287" s="870">
        <f>+DY287-D287</f>
        <v>0</v>
      </c>
      <c r="EA287" s="873" t="str">
        <f>VLOOKUP(POA!$B287,'Detalle Plan de Adquisiciones'!$G$6:$AF$66,23,0)</f>
        <v>N/A</v>
      </c>
      <c r="EB287" s="859" t="str">
        <f>VLOOKUP(POA!$B287,'Detalle Plan de Adquisiciones'!$G$6:$AF$66,25,0)</f>
        <v>N/A</v>
      </c>
      <c r="EC287" s="859" t="e">
        <f>EB287+30</f>
        <v>#VALUE!</v>
      </c>
      <c r="ED287" s="859" t="e">
        <f>CONCATENATE(MONTH(EA287),"-",YEAR(EA287))</f>
        <v>#VALUE!</v>
      </c>
      <c r="EE287" s="859" t="e">
        <f>CONCATENATE(MONTH(EB287),"-",YEAR(EB287))</f>
        <v>#VALUE!</v>
      </c>
      <c r="EF287" s="861" t="e">
        <f>CONCATENATE(MONTH(EC287),"-",YEAR(EC287))</f>
        <v>#VALUE!</v>
      </c>
      <c r="EG287" s="1105" t="e">
        <f>+YEAR(EA287)</f>
        <v>#VALUE!</v>
      </c>
      <c r="EI287" s="858">
        <f>+DW287+DW288+DW289</f>
        <v>0</v>
      </c>
      <c r="EJ287" s="877">
        <f>+D287/1000000-EI287</f>
        <v>0</v>
      </c>
      <c r="ER287" s="497"/>
    </row>
    <row r="288" spans="1:148" s="278" customFormat="1" outlineLevel="2" x14ac:dyDescent="0.2">
      <c r="A288" s="893"/>
      <c r="B288" s="886"/>
      <c r="C288" s="903"/>
      <c r="D288" s="864"/>
      <c r="E288" s="867"/>
      <c r="F288" s="311" t="s">
        <v>210</v>
      </c>
      <c r="G288" s="363">
        <v>0</v>
      </c>
      <c r="H288" s="363">
        <v>0</v>
      </c>
      <c r="I288" s="363">
        <v>0</v>
      </c>
      <c r="J288" s="363">
        <v>0</v>
      </c>
      <c r="K288" s="363">
        <v>0</v>
      </c>
      <c r="L288" s="363">
        <v>0</v>
      </c>
      <c r="M288" s="363">
        <v>0</v>
      </c>
      <c r="N288" s="363">
        <v>0</v>
      </c>
      <c r="O288" s="363">
        <v>0</v>
      </c>
      <c r="P288" s="363">
        <v>0</v>
      </c>
      <c r="Q288" s="363">
        <v>0</v>
      </c>
      <c r="R288" s="363">
        <v>0</v>
      </c>
      <c r="S288" s="363">
        <v>0</v>
      </c>
      <c r="T288" s="363">
        <v>0</v>
      </c>
      <c r="U288" s="363">
        <v>0</v>
      </c>
      <c r="V288" s="363">
        <v>0</v>
      </c>
      <c r="W288" s="363">
        <v>0</v>
      </c>
      <c r="X288" s="363">
        <v>0</v>
      </c>
      <c r="Y288" s="363">
        <v>0</v>
      </c>
      <c r="Z288" s="363">
        <v>0</v>
      </c>
      <c r="AA288" s="363">
        <v>0</v>
      </c>
      <c r="AB288" s="363">
        <v>0</v>
      </c>
      <c r="AC288" s="363">
        <v>0</v>
      </c>
      <c r="AD288" s="363">
        <v>0</v>
      </c>
      <c r="AE288" s="363">
        <v>0</v>
      </c>
      <c r="AF288" s="363">
        <v>0</v>
      </c>
      <c r="AG288" s="363">
        <v>0</v>
      </c>
      <c r="AH288" s="363">
        <v>0</v>
      </c>
      <c r="AI288" s="363">
        <v>0</v>
      </c>
      <c r="AJ288" s="363">
        <v>0</v>
      </c>
      <c r="AK288" s="363">
        <v>0</v>
      </c>
      <c r="AL288" s="363">
        <v>0</v>
      </c>
      <c r="AM288" s="363">
        <v>0</v>
      </c>
      <c r="AN288" s="363">
        <v>0</v>
      </c>
      <c r="AO288" s="363">
        <v>0</v>
      </c>
      <c r="AP288" s="363">
        <v>0</v>
      </c>
      <c r="AQ288" s="363">
        <v>0</v>
      </c>
      <c r="AR288" s="363">
        <v>0</v>
      </c>
      <c r="AS288" s="363">
        <v>0</v>
      </c>
      <c r="AT288" s="363">
        <v>0</v>
      </c>
      <c r="AU288" s="363">
        <v>0</v>
      </c>
      <c r="AV288" s="363">
        <v>0</v>
      </c>
      <c r="AW288" s="363">
        <v>0</v>
      </c>
      <c r="AX288" s="363">
        <v>0</v>
      </c>
      <c r="AY288" s="363">
        <v>0</v>
      </c>
      <c r="AZ288" s="363">
        <v>0</v>
      </c>
      <c r="BA288" s="363">
        <v>0</v>
      </c>
      <c r="BB288" s="363">
        <v>0</v>
      </c>
      <c r="BC288" s="363">
        <v>0</v>
      </c>
      <c r="BD288" s="363">
        <v>0</v>
      </c>
      <c r="BE288" s="363">
        <v>0</v>
      </c>
      <c r="BF288" s="363">
        <v>0</v>
      </c>
      <c r="BG288" s="363">
        <v>0</v>
      </c>
      <c r="BH288" s="363">
        <v>0</v>
      </c>
      <c r="BI288" s="363">
        <v>0</v>
      </c>
      <c r="BJ288" s="363">
        <v>0</v>
      </c>
      <c r="BK288" s="363">
        <v>0</v>
      </c>
      <c r="BL288" s="363">
        <v>0</v>
      </c>
      <c r="BM288" s="363">
        <v>0</v>
      </c>
      <c r="BN288" s="363">
        <v>0</v>
      </c>
      <c r="BO288" s="363">
        <v>0</v>
      </c>
      <c r="BP288" s="363">
        <v>0</v>
      </c>
      <c r="BQ288" s="363">
        <v>0</v>
      </c>
      <c r="BR288" s="363">
        <v>0</v>
      </c>
      <c r="BS288" s="363">
        <v>0</v>
      </c>
      <c r="BT288" s="363">
        <v>0</v>
      </c>
      <c r="BU288" s="363">
        <v>0</v>
      </c>
      <c r="BV288" s="363">
        <v>0</v>
      </c>
      <c r="BW288" s="363">
        <v>0</v>
      </c>
      <c r="BX288" s="363">
        <v>0</v>
      </c>
      <c r="BY288" s="363">
        <v>0</v>
      </c>
      <c r="BZ288" s="363">
        <v>0</v>
      </c>
      <c r="CA288" s="363">
        <v>0</v>
      </c>
      <c r="CB288" s="363">
        <v>0</v>
      </c>
      <c r="CC288" s="363">
        <v>0</v>
      </c>
      <c r="CD288" s="363">
        <v>0</v>
      </c>
      <c r="CE288" s="363">
        <v>0</v>
      </c>
      <c r="CF288" s="363">
        <v>0</v>
      </c>
      <c r="CG288" s="363">
        <v>0</v>
      </c>
      <c r="CH288" s="363">
        <v>0</v>
      </c>
      <c r="CI288" s="363">
        <v>0</v>
      </c>
      <c r="CJ288" s="363">
        <v>0</v>
      </c>
      <c r="CK288" s="363">
        <v>0</v>
      </c>
      <c r="CL288" s="363">
        <v>0</v>
      </c>
      <c r="CM288" s="363">
        <v>0</v>
      </c>
      <c r="CN288" s="363">
        <v>0</v>
      </c>
      <c r="CO288" s="363">
        <v>0</v>
      </c>
      <c r="CP288" s="363">
        <v>0</v>
      </c>
      <c r="CQ288" s="363">
        <v>0</v>
      </c>
      <c r="CR288" s="363">
        <v>0</v>
      </c>
      <c r="CS288" s="363">
        <v>0</v>
      </c>
      <c r="CT288" s="363">
        <v>0</v>
      </c>
      <c r="CU288" s="363">
        <v>0</v>
      </c>
      <c r="CV288" s="363">
        <v>0</v>
      </c>
      <c r="CW288" s="363">
        <v>0</v>
      </c>
      <c r="CX288" s="363">
        <v>0</v>
      </c>
      <c r="CY288" s="363">
        <v>0</v>
      </c>
      <c r="CZ288" s="363">
        <v>0</v>
      </c>
      <c r="DA288" s="363">
        <v>0</v>
      </c>
      <c r="DB288" s="363">
        <v>0</v>
      </c>
      <c r="DC288" s="363">
        <v>0</v>
      </c>
      <c r="DD288" s="363">
        <v>0</v>
      </c>
      <c r="DE288" s="363">
        <v>0</v>
      </c>
      <c r="DF288" s="363">
        <v>0</v>
      </c>
      <c r="DG288" s="363">
        <v>0</v>
      </c>
      <c r="DH288" s="363">
        <v>0</v>
      </c>
      <c r="DI288" s="363">
        <v>0</v>
      </c>
      <c r="DJ288" s="363">
        <v>0</v>
      </c>
      <c r="DK288" s="363">
        <v>0</v>
      </c>
      <c r="DL288" s="363">
        <v>0</v>
      </c>
      <c r="DM288" s="363">
        <v>0</v>
      </c>
      <c r="DN288" s="363">
        <v>0</v>
      </c>
      <c r="DO288" s="363">
        <v>0</v>
      </c>
      <c r="DP288" s="363">
        <v>0</v>
      </c>
      <c r="DQ288" s="363">
        <v>0</v>
      </c>
      <c r="DR288" s="363">
        <v>0</v>
      </c>
      <c r="DS288" s="363">
        <v>0</v>
      </c>
      <c r="DT288" s="363">
        <v>0</v>
      </c>
      <c r="DU288" s="363">
        <v>0</v>
      </c>
      <c r="DV288" s="363">
        <v>0</v>
      </c>
      <c r="DW288" s="544">
        <f t="shared" si="36"/>
        <v>0</v>
      </c>
      <c r="DX288" s="858"/>
      <c r="DY288" s="705"/>
      <c r="DZ288" s="871"/>
      <c r="EA288" s="873"/>
      <c r="EB288" s="859"/>
      <c r="EC288" s="859"/>
      <c r="ED288" s="859"/>
      <c r="EE288" s="859"/>
      <c r="EF288" s="861"/>
      <c r="EG288" s="1106"/>
      <c r="EI288" s="858"/>
      <c r="EJ288" s="877"/>
      <c r="ER288" s="497"/>
    </row>
    <row r="289" spans="1:148" s="278" customFormat="1" ht="12.75" outlineLevel="2" thickBot="1" x14ac:dyDescent="0.25">
      <c r="A289" s="894"/>
      <c r="B289" s="887"/>
      <c r="C289" s="904"/>
      <c r="D289" s="865"/>
      <c r="E289" s="868"/>
      <c r="F289" s="315" t="s">
        <v>211</v>
      </c>
      <c r="G289" s="364">
        <v>0</v>
      </c>
      <c r="H289" s="364">
        <v>0</v>
      </c>
      <c r="I289" s="364">
        <v>0</v>
      </c>
      <c r="J289" s="364">
        <v>0</v>
      </c>
      <c r="K289" s="364">
        <v>0</v>
      </c>
      <c r="L289" s="364">
        <v>0</v>
      </c>
      <c r="M289" s="364">
        <v>0</v>
      </c>
      <c r="N289" s="364">
        <v>0</v>
      </c>
      <c r="O289" s="364">
        <v>0</v>
      </c>
      <c r="P289" s="364">
        <v>0</v>
      </c>
      <c r="Q289" s="364">
        <v>0</v>
      </c>
      <c r="R289" s="364">
        <v>0</v>
      </c>
      <c r="S289" s="364">
        <v>0</v>
      </c>
      <c r="T289" s="364">
        <v>0</v>
      </c>
      <c r="U289" s="364">
        <v>0</v>
      </c>
      <c r="V289" s="364">
        <v>0</v>
      </c>
      <c r="W289" s="364">
        <v>0</v>
      </c>
      <c r="X289" s="364">
        <v>0</v>
      </c>
      <c r="Y289" s="364">
        <v>0</v>
      </c>
      <c r="Z289" s="364">
        <v>0</v>
      </c>
      <c r="AA289" s="364">
        <v>0</v>
      </c>
      <c r="AB289" s="364">
        <v>0</v>
      </c>
      <c r="AC289" s="364">
        <v>0</v>
      </c>
      <c r="AD289" s="364">
        <v>0</v>
      </c>
      <c r="AE289" s="364">
        <v>0</v>
      </c>
      <c r="AF289" s="364">
        <v>0</v>
      </c>
      <c r="AG289" s="364">
        <v>0</v>
      </c>
      <c r="AH289" s="364">
        <v>0</v>
      </c>
      <c r="AI289" s="364">
        <v>0</v>
      </c>
      <c r="AJ289" s="364">
        <v>0</v>
      </c>
      <c r="AK289" s="364">
        <v>0</v>
      </c>
      <c r="AL289" s="364">
        <v>0</v>
      </c>
      <c r="AM289" s="364">
        <v>0</v>
      </c>
      <c r="AN289" s="364">
        <v>0</v>
      </c>
      <c r="AO289" s="364">
        <v>0</v>
      </c>
      <c r="AP289" s="364">
        <v>0</v>
      </c>
      <c r="AQ289" s="364">
        <v>0</v>
      </c>
      <c r="AR289" s="364">
        <v>0</v>
      </c>
      <c r="AS289" s="364">
        <v>0</v>
      </c>
      <c r="AT289" s="364">
        <v>0</v>
      </c>
      <c r="AU289" s="364">
        <v>0</v>
      </c>
      <c r="AV289" s="364">
        <v>0</v>
      </c>
      <c r="AW289" s="364">
        <v>0</v>
      </c>
      <c r="AX289" s="364">
        <v>0</v>
      </c>
      <c r="AY289" s="364">
        <v>0</v>
      </c>
      <c r="AZ289" s="364">
        <v>0</v>
      </c>
      <c r="BA289" s="364">
        <v>0</v>
      </c>
      <c r="BB289" s="364">
        <v>0</v>
      </c>
      <c r="BC289" s="363">
        <v>0</v>
      </c>
      <c r="BD289" s="363">
        <v>0</v>
      </c>
      <c r="BE289" s="363">
        <v>0</v>
      </c>
      <c r="BF289" s="363">
        <v>0</v>
      </c>
      <c r="BG289" s="363">
        <v>0</v>
      </c>
      <c r="BH289" s="363">
        <v>0</v>
      </c>
      <c r="BI289" s="363">
        <v>0</v>
      </c>
      <c r="BJ289" s="363">
        <v>0</v>
      </c>
      <c r="BK289" s="363">
        <v>0</v>
      </c>
      <c r="BL289" s="363">
        <v>0</v>
      </c>
      <c r="BM289" s="363">
        <v>0</v>
      </c>
      <c r="BN289" s="363">
        <v>0</v>
      </c>
      <c r="BO289" s="363">
        <v>0</v>
      </c>
      <c r="BP289" s="363">
        <v>0</v>
      </c>
      <c r="BQ289" s="363">
        <v>0</v>
      </c>
      <c r="BR289" s="363">
        <v>0</v>
      </c>
      <c r="BS289" s="363">
        <v>0</v>
      </c>
      <c r="BT289" s="363">
        <v>0</v>
      </c>
      <c r="BU289" s="363">
        <v>0</v>
      </c>
      <c r="BV289" s="363">
        <v>0</v>
      </c>
      <c r="BW289" s="363">
        <v>0</v>
      </c>
      <c r="BX289" s="363">
        <v>0</v>
      </c>
      <c r="BY289" s="363">
        <v>0</v>
      </c>
      <c r="BZ289" s="363">
        <v>0</v>
      </c>
      <c r="CA289" s="363">
        <v>0</v>
      </c>
      <c r="CB289" s="363">
        <v>0</v>
      </c>
      <c r="CC289" s="363">
        <v>0</v>
      </c>
      <c r="CD289" s="363">
        <v>0</v>
      </c>
      <c r="CE289" s="363">
        <v>0</v>
      </c>
      <c r="CF289" s="363">
        <v>0</v>
      </c>
      <c r="CG289" s="363">
        <v>0</v>
      </c>
      <c r="CH289" s="363">
        <v>0</v>
      </c>
      <c r="CI289" s="363">
        <v>0</v>
      </c>
      <c r="CJ289" s="363">
        <v>0</v>
      </c>
      <c r="CK289" s="363">
        <v>0</v>
      </c>
      <c r="CL289" s="363">
        <v>0</v>
      </c>
      <c r="CM289" s="363">
        <v>0</v>
      </c>
      <c r="CN289" s="363">
        <v>0</v>
      </c>
      <c r="CO289" s="363">
        <v>0</v>
      </c>
      <c r="CP289" s="363">
        <v>0</v>
      </c>
      <c r="CQ289" s="363">
        <v>0</v>
      </c>
      <c r="CR289" s="363">
        <v>0</v>
      </c>
      <c r="CS289" s="363">
        <v>0</v>
      </c>
      <c r="CT289" s="363">
        <v>0</v>
      </c>
      <c r="CU289" s="363">
        <v>0</v>
      </c>
      <c r="CV289" s="363">
        <v>0</v>
      </c>
      <c r="CW289" s="363">
        <v>0</v>
      </c>
      <c r="CX289" s="363">
        <v>0</v>
      </c>
      <c r="CY289" s="363">
        <v>0</v>
      </c>
      <c r="CZ289" s="363">
        <v>0</v>
      </c>
      <c r="DA289" s="363">
        <v>0</v>
      </c>
      <c r="DB289" s="363">
        <v>0</v>
      </c>
      <c r="DC289" s="363">
        <v>0</v>
      </c>
      <c r="DD289" s="363">
        <v>0</v>
      </c>
      <c r="DE289" s="363">
        <v>0</v>
      </c>
      <c r="DF289" s="363">
        <v>0</v>
      </c>
      <c r="DG289" s="363">
        <v>0</v>
      </c>
      <c r="DH289" s="363">
        <v>0</v>
      </c>
      <c r="DI289" s="363">
        <v>0</v>
      </c>
      <c r="DJ289" s="363">
        <v>0</v>
      </c>
      <c r="DK289" s="363">
        <v>0</v>
      </c>
      <c r="DL289" s="363">
        <v>0</v>
      </c>
      <c r="DM289" s="363">
        <v>0</v>
      </c>
      <c r="DN289" s="363">
        <v>0</v>
      </c>
      <c r="DO289" s="363">
        <v>0</v>
      </c>
      <c r="DP289" s="363">
        <v>0</v>
      </c>
      <c r="DQ289" s="363">
        <v>0</v>
      </c>
      <c r="DR289" s="364">
        <v>0</v>
      </c>
      <c r="DS289" s="364">
        <v>0</v>
      </c>
      <c r="DT289" s="364">
        <v>0</v>
      </c>
      <c r="DU289" s="364">
        <v>0</v>
      </c>
      <c r="DV289" s="364">
        <v>0</v>
      </c>
      <c r="DW289" s="545">
        <f t="shared" si="36"/>
        <v>0</v>
      </c>
      <c r="DX289" s="858"/>
      <c r="DY289" s="706"/>
      <c r="DZ289" s="872"/>
      <c r="EA289" s="873"/>
      <c r="EB289" s="859"/>
      <c r="EC289" s="859"/>
      <c r="ED289" s="859"/>
      <c r="EE289" s="859"/>
      <c r="EF289" s="861"/>
      <c r="EG289" s="1107"/>
      <c r="EI289" s="858"/>
      <c r="EJ289" s="877"/>
      <c r="ER289" s="497"/>
    </row>
    <row r="290" spans="1:148" s="278" customFormat="1" ht="24" outlineLevel="2" x14ac:dyDescent="0.2">
      <c r="A290" s="892"/>
      <c r="B290" s="897" t="s">
        <v>190</v>
      </c>
      <c r="C290" s="902">
        <v>6</v>
      </c>
      <c r="D290" s="863">
        <f>+IFERROR(VLOOKUP(B290,'Detalle Plan de Adquisiciones'!$G$6:$M$66,7,FALSE),0)</f>
        <v>0</v>
      </c>
      <c r="E290" s="866" t="str">
        <f>+'Detalle Plan de Adquisiciones'!F66</f>
        <v>CONSTRUCCIÓN DEL INTERCAMBIADOR VIAL EN LA K 1 X C 41, ID [IV-6].</v>
      </c>
      <c r="F290" s="312" t="s">
        <v>410</v>
      </c>
      <c r="G290" s="354">
        <v>0</v>
      </c>
      <c r="H290" s="354">
        <v>0</v>
      </c>
      <c r="I290" s="354">
        <v>0</v>
      </c>
      <c r="J290" s="354">
        <v>0</v>
      </c>
      <c r="K290" s="354">
        <v>0</v>
      </c>
      <c r="L290" s="354">
        <v>0</v>
      </c>
      <c r="M290" s="354">
        <v>0</v>
      </c>
      <c r="N290" s="354">
        <v>0</v>
      </c>
      <c r="O290" s="354">
        <v>0</v>
      </c>
      <c r="P290" s="354">
        <v>0</v>
      </c>
      <c r="Q290" s="354">
        <v>0</v>
      </c>
      <c r="R290" s="354">
        <v>0</v>
      </c>
      <c r="S290" s="354">
        <v>0</v>
      </c>
      <c r="T290" s="354">
        <v>0</v>
      </c>
      <c r="U290" s="354">
        <v>0</v>
      </c>
      <c r="V290" s="354">
        <v>0</v>
      </c>
      <c r="W290" s="354">
        <v>0</v>
      </c>
      <c r="X290" s="354">
        <v>0</v>
      </c>
      <c r="Y290" s="354">
        <v>0</v>
      </c>
      <c r="Z290" s="354">
        <v>0</v>
      </c>
      <c r="AA290" s="354">
        <v>0</v>
      </c>
      <c r="AB290" s="354">
        <v>0</v>
      </c>
      <c r="AC290" s="354">
        <v>0</v>
      </c>
      <c r="AD290" s="354">
        <v>0</v>
      </c>
      <c r="AE290" s="354">
        <v>0</v>
      </c>
      <c r="AF290" s="354">
        <v>0</v>
      </c>
      <c r="AG290" s="354">
        <v>0</v>
      </c>
      <c r="AH290" s="354">
        <v>0</v>
      </c>
      <c r="AI290" s="354">
        <v>0</v>
      </c>
      <c r="AJ290" s="354">
        <v>0</v>
      </c>
      <c r="AK290" s="354">
        <v>0</v>
      </c>
      <c r="AL290" s="354">
        <v>0</v>
      </c>
      <c r="AM290" s="354">
        <v>0</v>
      </c>
      <c r="AN290" s="354">
        <v>0</v>
      </c>
      <c r="AO290" s="354">
        <v>0</v>
      </c>
      <c r="AP290" s="354">
        <v>0</v>
      </c>
      <c r="AQ290" s="354">
        <v>0</v>
      </c>
      <c r="AR290" s="354">
        <v>0</v>
      </c>
      <c r="AS290" s="354">
        <v>0</v>
      </c>
      <c r="AT290" s="354">
        <v>0</v>
      </c>
      <c r="AU290" s="354">
        <v>0</v>
      </c>
      <c r="AV290" s="354">
        <v>0</v>
      </c>
      <c r="AW290" s="354">
        <v>0</v>
      </c>
      <c r="AX290" s="354">
        <v>0</v>
      </c>
      <c r="AY290" s="354">
        <v>0</v>
      </c>
      <c r="AZ290" s="354">
        <v>0</v>
      </c>
      <c r="BA290" s="354">
        <v>0</v>
      </c>
      <c r="BB290" s="354">
        <v>0</v>
      </c>
      <c r="BC290" s="363">
        <v>0</v>
      </c>
      <c r="BD290" s="363">
        <v>0</v>
      </c>
      <c r="BE290" s="363">
        <v>0</v>
      </c>
      <c r="BF290" s="363">
        <v>0</v>
      </c>
      <c r="BG290" s="363">
        <v>0</v>
      </c>
      <c r="BH290" s="363">
        <v>0</v>
      </c>
      <c r="BI290" s="363">
        <v>0</v>
      </c>
      <c r="BJ290" s="363">
        <v>0</v>
      </c>
      <c r="BK290" s="363">
        <v>0</v>
      </c>
      <c r="BL290" s="363">
        <v>0</v>
      </c>
      <c r="BM290" s="363">
        <v>0</v>
      </c>
      <c r="BN290" s="363">
        <v>0</v>
      </c>
      <c r="BO290" s="363">
        <v>0</v>
      </c>
      <c r="BP290" s="363">
        <v>0</v>
      </c>
      <c r="BQ290" s="363">
        <v>0</v>
      </c>
      <c r="BR290" s="363">
        <v>0</v>
      </c>
      <c r="BS290" s="363">
        <v>0</v>
      </c>
      <c r="BT290" s="363">
        <v>0</v>
      </c>
      <c r="BU290" s="363">
        <v>0</v>
      </c>
      <c r="BV290" s="363">
        <v>0</v>
      </c>
      <c r="BW290" s="363">
        <v>0</v>
      </c>
      <c r="BX290" s="363">
        <v>0</v>
      </c>
      <c r="BY290" s="363">
        <v>0</v>
      </c>
      <c r="BZ290" s="363">
        <v>0</v>
      </c>
      <c r="CA290" s="363">
        <v>0</v>
      </c>
      <c r="CB290" s="363">
        <v>0</v>
      </c>
      <c r="CC290" s="363">
        <v>0</v>
      </c>
      <c r="CD290" s="363">
        <v>0</v>
      </c>
      <c r="CE290" s="363">
        <v>0</v>
      </c>
      <c r="CF290" s="363">
        <v>0</v>
      </c>
      <c r="CG290" s="363">
        <v>0</v>
      </c>
      <c r="CH290" s="363">
        <v>0</v>
      </c>
      <c r="CI290" s="363">
        <v>0</v>
      </c>
      <c r="CJ290" s="363">
        <v>0</v>
      </c>
      <c r="CK290" s="363">
        <v>0</v>
      </c>
      <c r="CL290" s="363">
        <v>0</v>
      </c>
      <c r="CM290" s="363">
        <v>0</v>
      </c>
      <c r="CN290" s="363">
        <v>0</v>
      </c>
      <c r="CO290" s="363">
        <v>0</v>
      </c>
      <c r="CP290" s="363">
        <v>0</v>
      </c>
      <c r="CQ290" s="363">
        <v>0</v>
      </c>
      <c r="CR290" s="363">
        <v>0</v>
      </c>
      <c r="CS290" s="363">
        <v>0</v>
      </c>
      <c r="CT290" s="363">
        <v>0</v>
      </c>
      <c r="CU290" s="363">
        <v>0</v>
      </c>
      <c r="CV290" s="363">
        <v>0</v>
      </c>
      <c r="CW290" s="363">
        <v>0</v>
      </c>
      <c r="CX290" s="363">
        <v>0</v>
      </c>
      <c r="CY290" s="363">
        <v>0</v>
      </c>
      <c r="CZ290" s="363">
        <v>0</v>
      </c>
      <c r="DA290" s="363">
        <v>0</v>
      </c>
      <c r="DB290" s="363">
        <v>0</v>
      </c>
      <c r="DC290" s="363">
        <v>0</v>
      </c>
      <c r="DD290" s="363">
        <v>0</v>
      </c>
      <c r="DE290" s="363">
        <v>0</v>
      </c>
      <c r="DF290" s="363">
        <v>0</v>
      </c>
      <c r="DG290" s="363">
        <v>0</v>
      </c>
      <c r="DH290" s="363">
        <v>0</v>
      </c>
      <c r="DI290" s="363">
        <v>0</v>
      </c>
      <c r="DJ290" s="363">
        <v>0</v>
      </c>
      <c r="DK290" s="363">
        <v>0</v>
      </c>
      <c r="DL290" s="363">
        <v>0</v>
      </c>
      <c r="DM290" s="363">
        <v>0</v>
      </c>
      <c r="DN290" s="363">
        <v>0</v>
      </c>
      <c r="DO290" s="363">
        <v>0</v>
      </c>
      <c r="DP290" s="363">
        <v>0</v>
      </c>
      <c r="DQ290" s="363">
        <v>0</v>
      </c>
      <c r="DR290" s="354">
        <v>0</v>
      </c>
      <c r="DS290" s="354">
        <v>0</v>
      </c>
      <c r="DT290" s="354">
        <v>0</v>
      </c>
      <c r="DU290" s="354">
        <v>0</v>
      </c>
      <c r="DV290" s="354">
        <v>0</v>
      </c>
      <c r="DW290" s="543">
        <f t="shared" si="36"/>
        <v>0</v>
      </c>
      <c r="DX290" s="858">
        <f>DW290+DW291+DW292</f>
        <v>0</v>
      </c>
      <c r="DY290" s="704">
        <f>+DX290*1000000</f>
        <v>0</v>
      </c>
      <c r="DZ290" s="870">
        <f>+DY290-D290</f>
        <v>0</v>
      </c>
      <c r="EA290" s="873" t="str">
        <f>VLOOKUP(POA!$B290,'Detalle Plan de Adquisiciones'!$G$6:$AF$66,23,0)</f>
        <v>N/A</v>
      </c>
      <c r="EB290" s="859" t="str">
        <f>VLOOKUP(POA!$B290,'Detalle Plan de Adquisiciones'!$G$6:$AF$66,25,0)</f>
        <v>N/A</v>
      </c>
      <c r="EC290" s="859" t="e">
        <f>EB290+30</f>
        <v>#VALUE!</v>
      </c>
      <c r="ED290" s="859" t="e">
        <f>CONCATENATE(MONTH(EA290),"-",YEAR(EA290))</f>
        <v>#VALUE!</v>
      </c>
      <c r="EE290" s="859" t="e">
        <f>CONCATENATE(MONTH(EB290),"-",YEAR(EB290))</f>
        <v>#VALUE!</v>
      </c>
      <c r="EF290" s="861" t="e">
        <f>CONCATENATE(MONTH(EC290),"-",YEAR(EC290))</f>
        <v>#VALUE!</v>
      </c>
      <c r="EG290" s="1105" t="e">
        <f>+YEAR(EA290)</f>
        <v>#VALUE!</v>
      </c>
      <c r="EI290" s="858">
        <f>+DW290+DW291+DW292</f>
        <v>0</v>
      </c>
      <c r="EJ290" s="877">
        <f>+D290/1000000-EI290</f>
        <v>0</v>
      </c>
      <c r="ER290" s="497"/>
    </row>
    <row r="291" spans="1:148" s="278" customFormat="1" outlineLevel="2" x14ac:dyDescent="0.2">
      <c r="A291" s="893"/>
      <c r="B291" s="886"/>
      <c r="C291" s="903"/>
      <c r="D291" s="864"/>
      <c r="E291" s="867"/>
      <c r="F291" s="311" t="s">
        <v>210</v>
      </c>
      <c r="G291" s="363">
        <v>0</v>
      </c>
      <c r="H291" s="363">
        <v>0</v>
      </c>
      <c r="I291" s="363">
        <v>0</v>
      </c>
      <c r="J291" s="363">
        <v>0</v>
      </c>
      <c r="K291" s="363">
        <v>0</v>
      </c>
      <c r="L291" s="363">
        <v>0</v>
      </c>
      <c r="M291" s="363">
        <v>0</v>
      </c>
      <c r="N291" s="363">
        <v>0</v>
      </c>
      <c r="O291" s="363">
        <v>0</v>
      </c>
      <c r="P291" s="363">
        <v>0</v>
      </c>
      <c r="Q291" s="363">
        <v>0</v>
      </c>
      <c r="R291" s="363">
        <v>0</v>
      </c>
      <c r="S291" s="363">
        <v>0</v>
      </c>
      <c r="T291" s="363">
        <v>0</v>
      </c>
      <c r="U291" s="363">
        <v>0</v>
      </c>
      <c r="V291" s="363">
        <v>0</v>
      </c>
      <c r="W291" s="363">
        <v>0</v>
      </c>
      <c r="X291" s="363">
        <v>0</v>
      </c>
      <c r="Y291" s="363">
        <v>0</v>
      </c>
      <c r="Z291" s="363">
        <v>0</v>
      </c>
      <c r="AA291" s="363">
        <v>0</v>
      </c>
      <c r="AB291" s="363">
        <v>0</v>
      </c>
      <c r="AC291" s="363">
        <v>0</v>
      </c>
      <c r="AD291" s="363">
        <v>0</v>
      </c>
      <c r="AE291" s="363">
        <v>0</v>
      </c>
      <c r="AF291" s="363">
        <v>0</v>
      </c>
      <c r="AG291" s="363">
        <v>0</v>
      </c>
      <c r="AH291" s="363">
        <v>0</v>
      </c>
      <c r="AI291" s="363">
        <v>0</v>
      </c>
      <c r="AJ291" s="363">
        <v>0</v>
      </c>
      <c r="AK291" s="363">
        <v>0</v>
      </c>
      <c r="AL291" s="363">
        <v>0</v>
      </c>
      <c r="AM291" s="363">
        <v>0</v>
      </c>
      <c r="AN291" s="363">
        <v>0</v>
      </c>
      <c r="AO291" s="363">
        <v>0</v>
      </c>
      <c r="AP291" s="363">
        <v>0</v>
      </c>
      <c r="AQ291" s="363">
        <v>0</v>
      </c>
      <c r="AR291" s="363">
        <v>0</v>
      </c>
      <c r="AS291" s="363">
        <v>0</v>
      </c>
      <c r="AT291" s="363">
        <v>0</v>
      </c>
      <c r="AU291" s="363">
        <v>0</v>
      </c>
      <c r="AV291" s="363">
        <v>0</v>
      </c>
      <c r="AW291" s="363">
        <v>0</v>
      </c>
      <c r="AX291" s="363">
        <v>0</v>
      </c>
      <c r="AY291" s="363">
        <v>0</v>
      </c>
      <c r="AZ291" s="363">
        <v>0</v>
      </c>
      <c r="BA291" s="363">
        <v>0</v>
      </c>
      <c r="BB291" s="363">
        <v>0</v>
      </c>
      <c r="BC291" s="363">
        <v>0</v>
      </c>
      <c r="BD291" s="363">
        <v>0</v>
      </c>
      <c r="BE291" s="363">
        <v>0</v>
      </c>
      <c r="BF291" s="363">
        <v>0</v>
      </c>
      <c r="BG291" s="363">
        <v>0</v>
      </c>
      <c r="BH291" s="363">
        <v>0</v>
      </c>
      <c r="BI291" s="363">
        <v>0</v>
      </c>
      <c r="BJ291" s="363">
        <v>0</v>
      </c>
      <c r="BK291" s="363">
        <v>0</v>
      </c>
      <c r="BL291" s="363">
        <v>0</v>
      </c>
      <c r="BM291" s="363">
        <v>0</v>
      </c>
      <c r="BN291" s="363">
        <v>0</v>
      </c>
      <c r="BO291" s="363">
        <v>0</v>
      </c>
      <c r="BP291" s="363">
        <v>0</v>
      </c>
      <c r="BQ291" s="363">
        <v>0</v>
      </c>
      <c r="BR291" s="363">
        <v>0</v>
      </c>
      <c r="BS291" s="363">
        <v>0</v>
      </c>
      <c r="BT291" s="363">
        <v>0</v>
      </c>
      <c r="BU291" s="363">
        <v>0</v>
      </c>
      <c r="BV291" s="363">
        <v>0</v>
      </c>
      <c r="BW291" s="363">
        <v>0</v>
      </c>
      <c r="BX291" s="363">
        <v>0</v>
      </c>
      <c r="BY291" s="363">
        <v>0</v>
      </c>
      <c r="BZ291" s="363">
        <v>0</v>
      </c>
      <c r="CA291" s="363">
        <v>0</v>
      </c>
      <c r="CB291" s="363">
        <v>0</v>
      </c>
      <c r="CC291" s="363">
        <v>0</v>
      </c>
      <c r="CD291" s="363">
        <v>0</v>
      </c>
      <c r="CE291" s="363">
        <v>0</v>
      </c>
      <c r="CF291" s="363">
        <v>0</v>
      </c>
      <c r="CG291" s="363">
        <v>0</v>
      </c>
      <c r="CH291" s="363">
        <v>0</v>
      </c>
      <c r="CI291" s="363">
        <v>0</v>
      </c>
      <c r="CJ291" s="363">
        <v>0</v>
      </c>
      <c r="CK291" s="363">
        <v>0</v>
      </c>
      <c r="CL291" s="363">
        <v>0</v>
      </c>
      <c r="CM291" s="363">
        <v>0</v>
      </c>
      <c r="CN291" s="363">
        <v>0</v>
      </c>
      <c r="CO291" s="363">
        <v>0</v>
      </c>
      <c r="CP291" s="363">
        <v>0</v>
      </c>
      <c r="CQ291" s="363">
        <v>0</v>
      </c>
      <c r="CR291" s="363">
        <v>0</v>
      </c>
      <c r="CS291" s="363">
        <v>0</v>
      </c>
      <c r="CT291" s="363">
        <v>0</v>
      </c>
      <c r="CU291" s="363">
        <v>0</v>
      </c>
      <c r="CV291" s="363">
        <v>0</v>
      </c>
      <c r="CW291" s="363">
        <v>0</v>
      </c>
      <c r="CX291" s="363">
        <v>0</v>
      </c>
      <c r="CY291" s="363">
        <v>0</v>
      </c>
      <c r="CZ291" s="363">
        <v>0</v>
      </c>
      <c r="DA291" s="363">
        <v>0</v>
      </c>
      <c r="DB291" s="363">
        <v>0</v>
      </c>
      <c r="DC291" s="363">
        <v>0</v>
      </c>
      <c r="DD291" s="363">
        <v>0</v>
      </c>
      <c r="DE291" s="363">
        <v>0</v>
      </c>
      <c r="DF291" s="363">
        <v>0</v>
      </c>
      <c r="DG291" s="363">
        <v>0</v>
      </c>
      <c r="DH291" s="363">
        <v>0</v>
      </c>
      <c r="DI291" s="363">
        <v>0</v>
      </c>
      <c r="DJ291" s="363">
        <v>0</v>
      </c>
      <c r="DK291" s="363">
        <v>0</v>
      </c>
      <c r="DL291" s="363">
        <v>0</v>
      </c>
      <c r="DM291" s="363">
        <v>0</v>
      </c>
      <c r="DN291" s="363">
        <v>0</v>
      </c>
      <c r="DO291" s="363">
        <v>0</v>
      </c>
      <c r="DP291" s="363">
        <v>0</v>
      </c>
      <c r="DQ291" s="363">
        <v>0</v>
      </c>
      <c r="DR291" s="363">
        <v>0</v>
      </c>
      <c r="DS291" s="363">
        <v>0</v>
      </c>
      <c r="DT291" s="363">
        <v>0</v>
      </c>
      <c r="DU291" s="363">
        <v>0</v>
      </c>
      <c r="DV291" s="363">
        <v>0</v>
      </c>
      <c r="DW291" s="544">
        <f t="shared" si="36"/>
        <v>0</v>
      </c>
      <c r="DX291" s="858"/>
      <c r="DY291" s="705"/>
      <c r="DZ291" s="871"/>
      <c r="EA291" s="873"/>
      <c r="EB291" s="859"/>
      <c r="EC291" s="859"/>
      <c r="ED291" s="859"/>
      <c r="EE291" s="859"/>
      <c r="EF291" s="861"/>
      <c r="EG291" s="1106"/>
      <c r="EI291" s="858"/>
      <c r="EJ291" s="877"/>
      <c r="ER291" s="497"/>
    </row>
    <row r="292" spans="1:148" s="278" customFormat="1" ht="12.75" outlineLevel="2" thickBot="1" x14ac:dyDescent="0.25">
      <c r="A292" s="894"/>
      <c r="B292" s="887"/>
      <c r="C292" s="904"/>
      <c r="D292" s="865"/>
      <c r="E292" s="868"/>
      <c r="F292" s="315" t="s">
        <v>211</v>
      </c>
      <c r="G292" s="387">
        <v>0</v>
      </c>
      <c r="H292" s="387">
        <v>0</v>
      </c>
      <c r="I292" s="387">
        <v>0</v>
      </c>
      <c r="J292" s="387">
        <v>0</v>
      </c>
      <c r="K292" s="387">
        <v>0</v>
      </c>
      <c r="L292" s="387">
        <v>0</v>
      </c>
      <c r="M292" s="387">
        <v>0</v>
      </c>
      <c r="N292" s="387">
        <v>0</v>
      </c>
      <c r="O292" s="387">
        <v>0</v>
      </c>
      <c r="P292" s="387">
        <v>0</v>
      </c>
      <c r="Q292" s="387">
        <v>0</v>
      </c>
      <c r="R292" s="387">
        <v>0</v>
      </c>
      <c r="S292" s="387">
        <v>0</v>
      </c>
      <c r="T292" s="387">
        <v>0</v>
      </c>
      <c r="U292" s="387">
        <v>0</v>
      </c>
      <c r="V292" s="387">
        <v>0</v>
      </c>
      <c r="W292" s="387">
        <v>0</v>
      </c>
      <c r="X292" s="387">
        <v>0</v>
      </c>
      <c r="Y292" s="387">
        <v>0</v>
      </c>
      <c r="Z292" s="387">
        <v>0</v>
      </c>
      <c r="AA292" s="387">
        <v>0</v>
      </c>
      <c r="AB292" s="387">
        <v>0</v>
      </c>
      <c r="AC292" s="387">
        <v>0</v>
      </c>
      <c r="AD292" s="387">
        <v>0</v>
      </c>
      <c r="AE292" s="387">
        <v>0</v>
      </c>
      <c r="AF292" s="387">
        <v>0</v>
      </c>
      <c r="AG292" s="387">
        <v>0</v>
      </c>
      <c r="AH292" s="387">
        <v>0</v>
      </c>
      <c r="AI292" s="387">
        <v>0</v>
      </c>
      <c r="AJ292" s="387">
        <v>0</v>
      </c>
      <c r="AK292" s="387">
        <v>0</v>
      </c>
      <c r="AL292" s="387">
        <v>0</v>
      </c>
      <c r="AM292" s="387">
        <v>0</v>
      </c>
      <c r="AN292" s="387">
        <v>0</v>
      </c>
      <c r="AO292" s="387">
        <v>0</v>
      </c>
      <c r="AP292" s="387">
        <v>0</v>
      </c>
      <c r="AQ292" s="387">
        <v>0</v>
      </c>
      <c r="AR292" s="387">
        <v>0</v>
      </c>
      <c r="AS292" s="387">
        <v>0</v>
      </c>
      <c r="AT292" s="387">
        <v>0</v>
      </c>
      <c r="AU292" s="387">
        <v>0</v>
      </c>
      <c r="AV292" s="387">
        <v>0</v>
      </c>
      <c r="AW292" s="387">
        <v>0</v>
      </c>
      <c r="AX292" s="387">
        <v>0</v>
      </c>
      <c r="AY292" s="387">
        <v>0</v>
      </c>
      <c r="AZ292" s="387">
        <v>0</v>
      </c>
      <c r="BA292" s="387">
        <v>0</v>
      </c>
      <c r="BB292" s="387">
        <v>0</v>
      </c>
      <c r="BC292" s="363">
        <v>0</v>
      </c>
      <c r="BD292" s="363">
        <v>0</v>
      </c>
      <c r="BE292" s="363">
        <v>0</v>
      </c>
      <c r="BF292" s="363">
        <v>0</v>
      </c>
      <c r="BG292" s="363">
        <v>0</v>
      </c>
      <c r="BH292" s="363">
        <v>0</v>
      </c>
      <c r="BI292" s="363">
        <v>0</v>
      </c>
      <c r="BJ292" s="363">
        <v>0</v>
      </c>
      <c r="BK292" s="363">
        <v>0</v>
      </c>
      <c r="BL292" s="363">
        <v>0</v>
      </c>
      <c r="BM292" s="363">
        <v>0</v>
      </c>
      <c r="BN292" s="363">
        <v>0</v>
      </c>
      <c r="BO292" s="363">
        <v>0</v>
      </c>
      <c r="BP292" s="363">
        <v>0</v>
      </c>
      <c r="BQ292" s="363">
        <v>0</v>
      </c>
      <c r="BR292" s="363">
        <v>0</v>
      </c>
      <c r="BS292" s="363">
        <v>0</v>
      </c>
      <c r="BT292" s="363">
        <v>0</v>
      </c>
      <c r="BU292" s="363">
        <v>0</v>
      </c>
      <c r="BV292" s="363">
        <v>0</v>
      </c>
      <c r="BW292" s="363">
        <v>0</v>
      </c>
      <c r="BX292" s="363">
        <v>0</v>
      </c>
      <c r="BY292" s="363">
        <v>0</v>
      </c>
      <c r="BZ292" s="363">
        <v>0</v>
      </c>
      <c r="CA292" s="363">
        <v>0</v>
      </c>
      <c r="CB292" s="363">
        <v>0</v>
      </c>
      <c r="CC292" s="363">
        <v>0</v>
      </c>
      <c r="CD292" s="363">
        <v>0</v>
      </c>
      <c r="CE292" s="363">
        <v>0</v>
      </c>
      <c r="CF292" s="363">
        <v>0</v>
      </c>
      <c r="CG292" s="363">
        <v>0</v>
      </c>
      <c r="CH292" s="363">
        <v>0</v>
      </c>
      <c r="CI292" s="363">
        <v>0</v>
      </c>
      <c r="CJ292" s="363">
        <v>0</v>
      </c>
      <c r="CK292" s="363">
        <v>0</v>
      </c>
      <c r="CL292" s="363">
        <v>0</v>
      </c>
      <c r="CM292" s="363">
        <v>0</v>
      </c>
      <c r="CN292" s="363">
        <v>0</v>
      </c>
      <c r="CO292" s="363">
        <v>0</v>
      </c>
      <c r="CP292" s="363">
        <v>0</v>
      </c>
      <c r="CQ292" s="363">
        <v>0</v>
      </c>
      <c r="CR292" s="363">
        <v>0</v>
      </c>
      <c r="CS292" s="363">
        <v>0</v>
      </c>
      <c r="CT292" s="363">
        <v>0</v>
      </c>
      <c r="CU292" s="363">
        <v>0</v>
      </c>
      <c r="CV292" s="363">
        <v>0</v>
      </c>
      <c r="CW292" s="363">
        <v>0</v>
      </c>
      <c r="CX292" s="363">
        <v>0</v>
      </c>
      <c r="CY292" s="363">
        <v>0</v>
      </c>
      <c r="CZ292" s="363">
        <v>0</v>
      </c>
      <c r="DA292" s="363">
        <v>0</v>
      </c>
      <c r="DB292" s="363">
        <v>0</v>
      </c>
      <c r="DC292" s="363">
        <v>0</v>
      </c>
      <c r="DD292" s="363">
        <v>0</v>
      </c>
      <c r="DE292" s="363">
        <v>0</v>
      </c>
      <c r="DF292" s="363">
        <v>0</v>
      </c>
      <c r="DG292" s="363">
        <v>0</v>
      </c>
      <c r="DH292" s="363">
        <v>0</v>
      </c>
      <c r="DI292" s="363">
        <v>0</v>
      </c>
      <c r="DJ292" s="363">
        <v>0</v>
      </c>
      <c r="DK292" s="363">
        <v>0</v>
      </c>
      <c r="DL292" s="363">
        <v>0</v>
      </c>
      <c r="DM292" s="363">
        <v>0</v>
      </c>
      <c r="DN292" s="363">
        <v>0</v>
      </c>
      <c r="DO292" s="363">
        <v>0</v>
      </c>
      <c r="DP292" s="363">
        <v>0</v>
      </c>
      <c r="DQ292" s="363">
        <v>0</v>
      </c>
      <c r="DR292" s="387">
        <v>0</v>
      </c>
      <c r="DS292" s="387">
        <v>0</v>
      </c>
      <c r="DT292" s="387">
        <v>0</v>
      </c>
      <c r="DU292" s="387">
        <v>0</v>
      </c>
      <c r="DV292" s="387">
        <v>0</v>
      </c>
      <c r="DW292" s="545">
        <f t="shared" si="36"/>
        <v>0</v>
      </c>
      <c r="DX292" s="858"/>
      <c r="DY292" s="706"/>
      <c r="DZ292" s="872"/>
      <c r="EA292" s="873"/>
      <c r="EB292" s="859"/>
      <c r="EC292" s="859"/>
      <c r="ED292" s="859"/>
      <c r="EE292" s="859"/>
      <c r="EF292" s="861"/>
      <c r="EG292" s="1107"/>
      <c r="EI292" s="858"/>
      <c r="EJ292" s="877"/>
      <c r="ER292" s="497"/>
    </row>
    <row r="293" spans="1:148" s="58" customFormat="1" ht="12.75" outlineLevel="2" thickBot="1" x14ac:dyDescent="0.25">
      <c r="A293" s="54"/>
      <c r="B293" s="54"/>
      <c r="C293" s="232"/>
      <c r="D293" s="249"/>
      <c r="E293" s="55"/>
      <c r="F293" s="56"/>
      <c r="G293" s="830"/>
      <c r="H293" s="830"/>
      <c r="I293" s="830"/>
      <c r="J293" s="830"/>
      <c r="K293" s="830"/>
      <c r="L293" s="830"/>
      <c r="M293" s="830"/>
      <c r="N293" s="830"/>
      <c r="O293" s="830"/>
      <c r="P293" s="830"/>
      <c r="Q293" s="830"/>
      <c r="R293" s="830"/>
      <c r="S293" s="830"/>
      <c r="T293" s="830"/>
      <c r="U293" s="830"/>
      <c r="V293" s="830"/>
      <c r="W293" s="830"/>
      <c r="X293" s="830"/>
      <c r="Y293" s="830"/>
      <c r="Z293" s="830"/>
      <c r="AA293" s="830"/>
      <c r="AB293" s="830"/>
      <c r="AC293" s="830"/>
      <c r="AD293" s="830"/>
      <c r="AE293" s="830"/>
      <c r="AF293" s="830"/>
      <c r="AG293" s="830"/>
      <c r="AH293" s="830"/>
      <c r="AI293" s="830"/>
      <c r="AJ293" s="830"/>
      <c r="AK293" s="830"/>
      <c r="AL293" s="830"/>
      <c r="AM293" s="830"/>
      <c r="AN293" s="830"/>
      <c r="AO293" s="830"/>
      <c r="AP293" s="830"/>
      <c r="AQ293" s="830"/>
      <c r="AR293" s="830"/>
      <c r="AS293" s="830"/>
      <c r="AT293" s="830"/>
      <c r="AU293" s="830"/>
      <c r="AV293" s="830"/>
      <c r="AW293" s="830"/>
      <c r="AX293" s="830"/>
      <c r="AY293" s="830"/>
      <c r="AZ293" s="830"/>
      <c r="BA293" s="830"/>
      <c r="BB293" s="830"/>
      <c r="BC293" s="830"/>
      <c r="BD293" s="830"/>
      <c r="BE293" s="830"/>
      <c r="BF293" s="830"/>
      <c r="BG293" s="830"/>
      <c r="BH293" s="830"/>
      <c r="BI293" s="830"/>
      <c r="BJ293" s="830"/>
      <c r="BK293" s="830"/>
      <c r="BL293" s="830"/>
      <c r="BM293" s="830"/>
      <c r="BN293" s="830"/>
      <c r="BO293" s="830"/>
      <c r="BP293" s="830"/>
      <c r="BQ293" s="830"/>
      <c r="BR293" s="830"/>
      <c r="BS293" s="830"/>
      <c r="BT293" s="830"/>
      <c r="BU293" s="830"/>
      <c r="BV293" s="830"/>
      <c r="BW293" s="830"/>
      <c r="BX293" s="830"/>
      <c r="BY293" s="830"/>
      <c r="BZ293" s="830"/>
      <c r="CA293" s="830"/>
      <c r="CB293" s="830"/>
      <c r="CC293" s="830"/>
      <c r="CD293" s="830"/>
      <c r="CE293" s="830"/>
      <c r="CF293" s="830"/>
      <c r="CG293" s="830"/>
      <c r="CH293" s="830"/>
      <c r="CI293" s="830"/>
      <c r="CJ293" s="830"/>
      <c r="CK293" s="830"/>
      <c r="CL293" s="830"/>
      <c r="CM293" s="830"/>
      <c r="CN293" s="830"/>
      <c r="CO293" s="830"/>
      <c r="CP293" s="830"/>
      <c r="CQ293" s="830"/>
      <c r="CR293" s="830"/>
      <c r="CS293" s="830"/>
      <c r="CT293" s="830"/>
      <c r="CU293" s="830"/>
      <c r="CV293" s="830"/>
      <c r="CW293" s="830"/>
      <c r="CX293" s="830"/>
      <c r="CY293" s="830"/>
      <c r="CZ293" s="830"/>
      <c r="DA293" s="830"/>
      <c r="DB293" s="830"/>
      <c r="DC293" s="830"/>
      <c r="DD293" s="830"/>
      <c r="DE293" s="830"/>
      <c r="DF293" s="830"/>
      <c r="DG293" s="830"/>
      <c r="DH293" s="830"/>
      <c r="DI293" s="830"/>
      <c r="DJ293" s="830"/>
      <c r="DK293" s="830"/>
      <c r="DL293" s="830"/>
      <c r="DM293" s="830"/>
      <c r="DN293" s="830"/>
      <c r="DO293" s="830"/>
      <c r="DP293" s="830"/>
      <c r="DQ293" s="830"/>
      <c r="DR293" s="830"/>
      <c r="DS293" s="830"/>
      <c r="DT293" s="830"/>
      <c r="DU293" s="830"/>
      <c r="DV293" s="830"/>
      <c r="DW293" s="830"/>
      <c r="DX293" s="56"/>
      <c r="DY293" s="711"/>
      <c r="DZ293" s="514"/>
      <c r="EA293" s="329"/>
      <c r="EB293" s="330"/>
      <c r="EC293" s="330"/>
      <c r="ED293" s="331"/>
      <c r="EE293" s="331"/>
      <c r="EF293" s="332"/>
      <c r="EG293" s="516"/>
      <c r="EI293" s="538"/>
      <c r="EJ293" s="541"/>
      <c r="ER293" s="501"/>
    </row>
    <row r="294" spans="1:148" s="278" customFormat="1" ht="15" customHeight="1" outlineLevel="2" x14ac:dyDescent="0.2">
      <c r="A294" s="897"/>
      <c r="B294" s="897">
        <v>8</v>
      </c>
      <c r="C294" s="902"/>
      <c r="D294" s="863">
        <f>+IFERROR(VLOOKUP(B294,'Detalle Plan de Adquisiciones'!$G$53:$L$153,6,FALSE),0)</f>
        <v>0</v>
      </c>
      <c r="E294" s="866" t="str">
        <f>+'Detalle Plan de Adquisiciones'!F122</f>
        <v>INTERVENTORÍA TÉCNICA, ADMINISTRATIVA, FINANCIERA Y AMBIENTAL AL CONTRATO CUYO OBJETO ES: CONSTRUCCIÓN DE PAVIMENTO RÍGIDO, ANDENES Y ESPACIO PUBLICO DE LA CALLE 36 ENTRE CARRERA 1 W Y AVENIDA CIRCUNVALAR, ID(8). PERTENECIENTE AL SISTEMA ESTRATÉGICO DE TRANSPORTE PUBLICO "SETP" DE LA CIUDAD DE MONTERÍA.</v>
      </c>
      <c r="F294" s="312" t="s">
        <v>410</v>
      </c>
      <c r="G294" s="354">
        <v>0</v>
      </c>
      <c r="H294" s="354">
        <v>0</v>
      </c>
      <c r="I294" s="354">
        <v>0</v>
      </c>
      <c r="J294" s="354">
        <v>0</v>
      </c>
      <c r="K294" s="354">
        <v>0</v>
      </c>
      <c r="L294" s="354">
        <v>0</v>
      </c>
      <c r="M294" s="354">
        <v>0</v>
      </c>
      <c r="N294" s="354">
        <v>0</v>
      </c>
      <c r="O294" s="354">
        <v>0</v>
      </c>
      <c r="P294" s="354">
        <v>0</v>
      </c>
      <c r="Q294" s="354">
        <v>0</v>
      </c>
      <c r="R294" s="354">
        <v>0</v>
      </c>
      <c r="S294" s="354">
        <v>0</v>
      </c>
      <c r="T294" s="354">
        <v>0</v>
      </c>
      <c r="U294" s="354">
        <v>0</v>
      </c>
      <c r="V294" s="354">
        <v>0</v>
      </c>
      <c r="W294" s="354">
        <v>0</v>
      </c>
      <c r="X294" s="354">
        <v>0</v>
      </c>
      <c r="Y294" s="354">
        <v>0</v>
      </c>
      <c r="Z294" s="354">
        <v>0</v>
      </c>
      <c r="AA294" s="354">
        <v>0</v>
      </c>
      <c r="AB294" s="354">
        <v>0</v>
      </c>
      <c r="AC294" s="354">
        <v>0</v>
      </c>
      <c r="AD294" s="354">
        <v>0</v>
      </c>
      <c r="AE294" s="354">
        <v>0</v>
      </c>
      <c r="AF294" s="354">
        <v>0</v>
      </c>
      <c r="AG294" s="354">
        <v>0</v>
      </c>
      <c r="AH294" s="354">
        <v>0</v>
      </c>
      <c r="AI294" s="354">
        <v>0</v>
      </c>
      <c r="AJ294" s="354">
        <v>0</v>
      </c>
      <c r="AK294" s="354">
        <v>0</v>
      </c>
      <c r="AL294" s="354">
        <v>0</v>
      </c>
      <c r="AM294" s="354">
        <v>0</v>
      </c>
      <c r="AN294" s="354">
        <v>0</v>
      </c>
      <c r="AO294" s="354">
        <v>0</v>
      </c>
      <c r="AP294" s="354">
        <v>0</v>
      </c>
      <c r="AQ294" s="354">
        <v>0</v>
      </c>
      <c r="AR294" s="354">
        <v>0</v>
      </c>
      <c r="AS294" s="354">
        <v>0</v>
      </c>
      <c r="AT294" s="354">
        <v>0</v>
      </c>
      <c r="AU294" s="354">
        <v>0</v>
      </c>
      <c r="AV294" s="354">
        <v>0</v>
      </c>
      <c r="AW294" s="354">
        <v>0</v>
      </c>
      <c r="AX294" s="354">
        <v>0</v>
      </c>
      <c r="AY294" s="354">
        <v>0</v>
      </c>
      <c r="AZ294" s="354">
        <v>0</v>
      </c>
      <c r="BA294" s="354">
        <v>0</v>
      </c>
      <c r="BB294" s="354">
        <v>0</v>
      </c>
      <c r="BC294" s="363">
        <v>0</v>
      </c>
      <c r="BD294" s="363">
        <v>0</v>
      </c>
      <c r="BE294" s="363">
        <v>0</v>
      </c>
      <c r="BF294" s="363">
        <v>0</v>
      </c>
      <c r="BG294" s="363">
        <v>0</v>
      </c>
      <c r="BH294" s="363">
        <v>0</v>
      </c>
      <c r="BI294" s="363">
        <v>0</v>
      </c>
      <c r="BJ294" s="363">
        <v>0</v>
      </c>
      <c r="BK294" s="363">
        <v>0</v>
      </c>
      <c r="BL294" s="363">
        <v>0</v>
      </c>
      <c r="BM294" s="363">
        <v>0</v>
      </c>
      <c r="BN294" s="363">
        <v>0</v>
      </c>
      <c r="BO294" s="363">
        <v>0</v>
      </c>
      <c r="BP294" s="363">
        <v>0</v>
      </c>
      <c r="BQ294" s="363">
        <v>0</v>
      </c>
      <c r="BR294" s="363">
        <v>0</v>
      </c>
      <c r="BS294" s="363">
        <v>0</v>
      </c>
      <c r="BT294" s="363">
        <v>0</v>
      </c>
      <c r="BU294" s="363">
        <v>0</v>
      </c>
      <c r="BV294" s="363">
        <v>0</v>
      </c>
      <c r="BW294" s="363">
        <v>0</v>
      </c>
      <c r="BX294" s="363">
        <v>0</v>
      </c>
      <c r="BY294" s="363">
        <v>0</v>
      </c>
      <c r="BZ294" s="363">
        <v>0</v>
      </c>
      <c r="CA294" s="363">
        <v>0</v>
      </c>
      <c r="CB294" s="363">
        <v>0</v>
      </c>
      <c r="CC294" s="363">
        <v>0</v>
      </c>
      <c r="CD294" s="363">
        <v>0</v>
      </c>
      <c r="CE294" s="363">
        <v>0</v>
      </c>
      <c r="CF294" s="363">
        <v>0</v>
      </c>
      <c r="CG294" s="363">
        <v>0</v>
      </c>
      <c r="CH294" s="363">
        <v>0</v>
      </c>
      <c r="CI294" s="363">
        <v>0</v>
      </c>
      <c r="CJ294" s="363">
        <v>0</v>
      </c>
      <c r="CK294" s="363">
        <v>0</v>
      </c>
      <c r="CL294" s="363">
        <v>0</v>
      </c>
      <c r="CM294" s="363">
        <v>0</v>
      </c>
      <c r="CN294" s="363">
        <v>0</v>
      </c>
      <c r="CO294" s="363">
        <v>0</v>
      </c>
      <c r="CP294" s="363">
        <v>0</v>
      </c>
      <c r="CQ294" s="363">
        <v>0</v>
      </c>
      <c r="CR294" s="363">
        <v>0</v>
      </c>
      <c r="CS294" s="363">
        <v>0</v>
      </c>
      <c r="CT294" s="363">
        <v>0</v>
      </c>
      <c r="CU294" s="363">
        <v>0</v>
      </c>
      <c r="CV294" s="363">
        <v>0</v>
      </c>
      <c r="CW294" s="363">
        <v>0</v>
      </c>
      <c r="CX294" s="363">
        <v>0</v>
      </c>
      <c r="CY294" s="363">
        <v>0</v>
      </c>
      <c r="CZ294" s="363">
        <v>0</v>
      </c>
      <c r="DA294" s="363">
        <v>0</v>
      </c>
      <c r="DB294" s="363">
        <v>0</v>
      </c>
      <c r="DC294" s="363">
        <v>0</v>
      </c>
      <c r="DD294" s="363">
        <v>0</v>
      </c>
      <c r="DE294" s="363">
        <v>0</v>
      </c>
      <c r="DF294" s="363">
        <v>0</v>
      </c>
      <c r="DG294" s="363">
        <v>0</v>
      </c>
      <c r="DH294" s="363">
        <v>0</v>
      </c>
      <c r="DI294" s="363">
        <v>0</v>
      </c>
      <c r="DJ294" s="363">
        <v>0</v>
      </c>
      <c r="DK294" s="363">
        <v>0</v>
      </c>
      <c r="DL294" s="363">
        <v>0</v>
      </c>
      <c r="DM294" s="363">
        <v>0</v>
      </c>
      <c r="DN294" s="363">
        <v>0</v>
      </c>
      <c r="DO294" s="363">
        <v>0</v>
      </c>
      <c r="DP294" s="363">
        <v>0</v>
      </c>
      <c r="DQ294" s="363">
        <v>0</v>
      </c>
      <c r="DR294" s="354">
        <v>0</v>
      </c>
      <c r="DS294" s="354">
        <v>0</v>
      </c>
      <c r="DT294" s="354">
        <v>0</v>
      </c>
      <c r="DU294" s="354">
        <v>0</v>
      </c>
      <c r="DV294" s="354">
        <v>0</v>
      </c>
      <c r="DW294" s="543">
        <f t="shared" ref="DW294:DW330" si="37">SUM(G294:DV294)</f>
        <v>0</v>
      </c>
      <c r="DX294" s="858">
        <f>DW294+DW295+DW296</f>
        <v>0</v>
      </c>
      <c r="DY294" s="704">
        <f>+DX294*1000000</f>
        <v>0</v>
      </c>
      <c r="DZ294" s="870">
        <f>+DY294-D294</f>
        <v>0</v>
      </c>
      <c r="EA294" s="873" t="str">
        <f>VLOOKUP(POA!$B294,INTERPLAN,28,0)</f>
        <v>N/A</v>
      </c>
      <c r="EB294" s="859" t="e">
        <f>+EDATE(EA294,C295)</f>
        <v>#VALUE!</v>
      </c>
      <c r="EC294" s="859" t="e">
        <f>EB294+30</f>
        <v>#VALUE!</v>
      </c>
      <c r="ED294" s="859" t="e">
        <f>CONCATENATE(MONTH(EA294),"-",YEAR(EA294))</f>
        <v>#VALUE!</v>
      </c>
      <c r="EE294" s="859" t="e">
        <f>CONCATENATE(MONTH(EB294),"-",YEAR(EB294))</f>
        <v>#VALUE!</v>
      </c>
      <c r="EF294" s="861" t="e">
        <f>CONCATENATE(MONTH(EC294),"-",YEAR(EC294))</f>
        <v>#VALUE!</v>
      </c>
      <c r="EG294" s="1105" t="e">
        <f>+YEAR(EA294)</f>
        <v>#VALUE!</v>
      </c>
      <c r="EI294" s="858">
        <f>+DW294+DW295+DW296</f>
        <v>0</v>
      </c>
      <c r="EJ294" s="877">
        <f>+D294/1000000-EI294</f>
        <v>0</v>
      </c>
      <c r="ER294" s="497"/>
    </row>
    <row r="295" spans="1:148" s="278" customFormat="1" ht="15" customHeight="1" outlineLevel="2" x14ac:dyDescent="0.2">
      <c r="A295" s="886"/>
      <c r="B295" s="886"/>
      <c r="C295" s="903"/>
      <c r="D295" s="864"/>
      <c r="E295" s="867"/>
      <c r="F295" s="311" t="s">
        <v>210</v>
      </c>
      <c r="G295" s="363">
        <v>0</v>
      </c>
      <c r="H295" s="363">
        <v>0</v>
      </c>
      <c r="I295" s="363">
        <v>0</v>
      </c>
      <c r="J295" s="363">
        <v>0</v>
      </c>
      <c r="K295" s="363">
        <v>0</v>
      </c>
      <c r="L295" s="363">
        <v>0</v>
      </c>
      <c r="M295" s="363">
        <v>0</v>
      </c>
      <c r="N295" s="363">
        <v>0</v>
      </c>
      <c r="O295" s="363">
        <v>0</v>
      </c>
      <c r="P295" s="363">
        <v>0</v>
      </c>
      <c r="Q295" s="363">
        <v>0</v>
      </c>
      <c r="R295" s="363">
        <v>0</v>
      </c>
      <c r="S295" s="363">
        <v>0</v>
      </c>
      <c r="T295" s="363">
        <v>0</v>
      </c>
      <c r="U295" s="363">
        <v>0</v>
      </c>
      <c r="V295" s="363">
        <v>0</v>
      </c>
      <c r="W295" s="363">
        <v>0</v>
      </c>
      <c r="X295" s="363">
        <v>0</v>
      </c>
      <c r="Y295" s="363">
        <v>0</v>
      </c>
      <c r="Z295" s="363">
        <v>0</v>
      </c>
      <c r="AA295" s="363">
        <v>0</v>
      </c>
      <c r="AB295" s="363">
        <v>0</v>
      </c>
      <c r="AC295" s="363">
        <v>0</v>
      </c>
      <c r="AD295" s="363">
        <v>0</v>
      </c>
      <c r="AE295" s="363">
        <v>0</v>
      </c>
      <c r="AF295" s="363">
        <v>0</v>
      </c>
      <c r="AG295" s="363">
        <v>0</v>
      </c>
      <c r="AH295" s="363">
        <v>0</v>
      </c>
      <c r="AI295" s="363">
        <v>0</v>
      </c>
      <c r="AJ295" s="363">
        <v>0</v>
      </c>
      <c r="AK295" s="363">
        <v>0</v>
      </c>
      <c r="AL295" s="363">
        <v>0</v>
      </c>
      <c r="AM295" s="363">
        <v>0</v>
      </c>
      <c r="AN295" s="363">
        <v>0</v>
      </c>
      <c r="AO295" s="363">
        <v>0</v>
      </c>
      <c r="AP295" s="363">
        <v>0</v>
      </c>
      <c r="AQ295" s="363">
        <v>0</v>
      </c>
      <c r="AR295" s="363">
        <v>0</v>
      </c>
      <c r="AS295" s="363">
        <v>0</v>
      </c>
      <c r="AT295" s="363">
        <v>0</v>
      </c>
      <c r="AU295" s="363">
        <v>0</v>
      </c>
      <c r="AV295" s="363">
        <v>0</v>
      </c>
      <c r="AW295" s="363">
        <v>0</v>
      </c>
      <c r="AX295" s="363">
        <v>0</v>
      </c>
      <c r="AY295" s="363">
        <v>0</v>
      </c>
      <c r="AZ295" s="363">
        <v>0</v>
      </c>
      <c r="BA295" s="363">
        <v>0</v>
      </c>
      <c r="BB295" s="363">
        <v>0</v>
      </c>
      <c r="BC295" s="363">
        <v>0</v>
      </c>
      <c r="BD295" s="363">
        <v>0</v>
      </c>
      <c r="BE295" s="363">
        <v>0</v>
      </c>
      <c r="BF295" s="363">
        <v>0</v>
      </c>
      <c r="BG295" s="363">
        <v>0</v>
      </c>
      <c r="BH295" s="363">
        <v>0</v>
      </c>
      <c r="BI295" s="363">
        <v>0</v>
      </c>
      <c r="BJ295" s="363">
        <v>0</v>
      </c>
      <c r="BK295" s="363">
        <v>0</v>
      </c>
      <c r="BL295" s="363">
        <v>0</v>
      </c>
      <c r="BM295" s="363">
        <v>0</v>
      </c>
      <c r="BN295" s="363">
        <v>0</v>
      </c>
      <c r="BO295" s="363">
        <v>0</v>
      </c>
      <c r="BP295" s="363">
        <v>0</v>
      </c>
      <c r="BQ295" s="363">
        <v>0</v>
      </c>
      <c r="BR295" s="363">
        <v>0</v>
      </c>
      <c r="BS295" s="363">
        <v>0</v>
      </c>
      <c r="BT295" s="363">
        <v>0</v>
      </c>
      <c r="BU295" s="363">
        <v>0</v>
      </c>
      <c r="BV295" s="363">
        <v>0</v>
      </c>
      <c r="BW295" s="363">
        <v>0</v>
      </c>
      <c r="BX295" s="363">
        <v>0</v>
      </c>
      <c r="BY295" s="363">
        <v>0</v>
      </c>
      <c r="BZ295" s="363">
        <v>0</v>
      </c>
      <c r="CA295" s="363">
        <v>0</v>
      </c>
      <c r="CB295" s="363">
        <v>0</v>
      </c>
      <c r="CC295" s="363">
        <v>0</v>
      </c>
      <c r="CD295" s="363">
        <v>0</v>
      </c>
      <c r="CE295" s="363">
        <v>0</v>
      </c>
      <c r="CF295" s="363">
        <v>0</v>
      </c>
      <c r="CG295" s="363">
        <v>0</v>
      </c>
      <c r="CH295" s="363">
        <v>0</v>
      </c>
      <c r="CI295" s="363">
        <v>0</v>
      </c>
      <c r="CJ295" s="363">
        <v>0</v>
      </c>
      <c r="CK295" s="363">
        <v>0</v>
      </c>
      <c r="CL295" s="363">
        <v>0</v>
      </c>
      <c r="CM295" s="363">
        <v>0</v>
      </c>
      <c r="CN295" s="363">
        <v>0</v>
      </c>
      <c r="CO295" s="363">
        <v>0</v>
      </c>
      <c r="CP295" s="363">
        <v>0</v>
      </c>
      <c r="CQ295" s="363">
        <v>0</v>
      </c>
      <c r="CR295" s="363">
        <v>0</v>
      </c>
      <c r="CS295" s="363">
        <v>0</v>
      </c>
      <c r="CT295" s="363">
        <v>0</v>
      </c>
      <c r="CU295" s="363">
        <v>0</v>
      </c>
      <c r="CV295" s="363">
        <v>0</v>
      </c>
      <c r="CW295" s="363">
        <v>0</v>
      </c>
      <c r="CX295" s="363">
        <v>0</v>
      </c>
      <c r="CY295" s="363">
        <v>0</v>
      </c>
      <c r="CZ295" s="363">
        <v>0</v>
      </c>
      <c r="DA295" s="363">
        <v>0</v>
      </c>
      <c r="DB295" s="363">
        <v>0</v>
      </c>
      <c r="DC295" s="363">
        <v>0</v>
      </c>
      <c r="DD295" s="363">
        <v>0</v>
      </c>
      <c r="DE295" s="363">
        <v>0</v>
      </c>
      <c r="DF295" s="363">
        <v>0</v>
      </c>
      <c r="DG295" s="363">
        <v>0</v>
      </c>
      <c r="DH295" s="363">
        <v>0</v>
      </c>
      <c r="DI295" s="363">
        <v>0</v>
      </c>
      <c r="DJ295" s="363">
        <v>0</v>
      </c>
      <c r="DK295" s="363">
        <v>0</v>
      </c>
      <c r="DL295" s="363">
        <v>0</v>
      </c>
      <c r="DM295" s="363">
        <v>0</v>
      </c>
      <c r="DN295" s="363">
        <v>0</v>
      </c>
      <c r="DO295" s="363">
        <v>0</v>
      </c>
      <c r="DP295" s="363">
        <v>0</v>
      </c>
      <c r="DQ295" s="363">
        <v>0</v>
      </c>
      <c r="DR295" s="363">
        <v>0</v>
      </c>
      <c r="DS295" s="363">
        <v>0</v>
      </c>
      <c r="DT295" s="363">
        <v>0</v>
      </c>
      <c r="DU295" s="363">
        <v>0</v>
      </c>
      <c r="DV295" s="363">
        <v>0</v>
      </c>
      <c r="DW295" s="544">
        <f t="shared" si="37"/>
        <v>0</v>
      </c>
      <c r="DX295" s="858"/>
      <c r="DY295" s="705"/>
      <c r="DZ295" s="871"/>
      <c r="EA295" s="873"/>
      <c r="EB295" s="859"/>
      <c r="EC295" s="859"/>
      <c r="ED295" s="859"/>
      <c r="EE295" s="859"/>
      <c r="EF295" s="861"/>
      <c r="EG295" s="1106"/>
      <c r="EI295" s="858"/>
      <c r="EJ295" s="877"/>
      <c r="ER295" s="497"/>
    </row>
    <row r="296" spans="1:148" s="278" customFormat="1" ht="24" customHeight="1" outlineLevel="2" thickBot="1" x14ac:dyDescent="0.25">
      <c r="A296" s="887"/>
      <c r="B296" s="887"/>
      <c r="C296" s="904"/>
      <c r="D296" s="865"/>
      <c r="E296" s="868"/>
      <c r="F296" s="315" t="s">
        <v>211</v>
      </c>
      <c r="G296" s="364">
        <v>0</v>
      </c>
      <c r="H296" s="364">
        <v>0</v>
      </c>
      <c r="I296" s="364">
        <v>0</v>
      </c>
      <c r="J296" s="364">
        <v>0</v>
      </c>
      <c r="K296" s="364">
        <v>0</v>
      </c>
      <c r="L296" s="364">
        <v>0</v>
      </c>
      <c r="M296" s="364">
        <v>0</v>
      </c>
      <c r="N296" s="364">
        <v>0</v>
      </c>
      <c r="O296" s="364">
        <v>0</v>
      </c>
      <c r="P296" s="364">
        <v>0</v>
      </c>
      <c r="Q296" s="364">
        <v>0</v>
      </c>
      <c r="R296" s="364">
        <v>0</v>
      </c>
      <c r="S296" s="364">
        <v>0</v>
      </c>
      <c r="T296" s="364">
        <v>0</v>
      </c>
      <c r="U296" s="364">
        <v>0</v>
      </c>
      <c r="V296" s="364">
        <v>0</v>
      </c>
      <c r="W296" s="364">
        <v>0</v>
      </c>
      <c r="X296" s="364">
        <v>0</v>
      </c>
      <c r="Y296" s="364">
        <v>0</v>
      </c>
      <c r="Z296" s="364">
        <v>0</v>
      </c>
      <c r="AA296" s="364">
        <v>0</v>
      </c>
      <c r="AB296" s="364">
        <v>0</v>
      </c>
      <c r="AC296" s="364">
        <v>0</v>
      </c>
      <c r="AD296" s="364">
        <v>0</v>
      </c>
      <c r="AE296" s="364">
        <v>0</v>
      </c>
      <c r="AF296" s="364">
        <v>0</v>
      </c>
      <c r="AG296" s="364">
        <v>0</v>
      </c>
      <c r="AH296" s="364">
        <v>0</v>
      </c>
      <c r="AI296" s="364">
        <v>0</v>
      </c>
      <c r="AJ296" s="364">
        <v>0</v>
      </c>
      <c r="AK296" s="364">
        <v>0</v>
      </c>
      <c r="AL296" s="364">
        <v>0</v>
      </c>
      <c r="AM296" s="364">
        <v>0</v>
      </c>
      <c r="AN296" s="364">
        <v>0</v>
      </c>
      <c r="AO296" s="364">
        <v>0</v>
      </c>
      <c r="AP296" s="364">
        <v>0</v>
      </c>
      <c r="AQ296" s="364">
        <v>0</v>
      </c>
      <c r="AR296" s="364">
        <v>0</v>
      </c>
      <c r="AS296" s="364">
        <v>0</v>
      </c>
      <c r="AT296" s="364">
        <v>0</v>
      </c>
      <c r="AU296" s="364">
        <v>0</v>
      </c>
      <c r="AV296" s="364">
        <v>0</v>
      </c>
      <c r="AW296" s="364">
        <v>0</v>
      </c>
      <c r="AX296" s="364">
        <v>0</v>
      </c>
      <c r="AY296" s="364">
        <v>0</v>
      </c>
      <c r="AZ296" s="364">
        <v>0</v>
      </c>
      <c r="BA296" s="364">
        <v>0</v>
      </c>
      <c r="BB296" s="364">
        <v>0</v>
      </c>
      <c r="BC296" s="364">
        <v>0</v>
      </c>
      <c r="BD296" s="364">
        <v>0</v>
      </c>
      <c r="BE296" s="364">
        <v>0</v>
      </c>
      <c r="BF296" s="364">
        <v>0</v>
      </c>
      <c r="BG296" s="364">
        <v>0</v>
      </c>
      <c r="BH296" s="364">
        <v>0</v>
      </c>
      <c r="BI296" s="364">
        <v>0</v>
      </c>
      <c r="BJ296" s="364">
        <v>0</v>
      </c>
      <c r="BK296" s="364">
        <v>0</v>
      </c>
      <c r="BL296" s="364">
        <v>0</v>
      </c>
      <c r="BM296" s="364">
        <v>0</v>
      </c>
      <c r="BN296" s="364">
        <v>0</v>
      </c>
      <c r="BO296" s="364">
        <v>0</v>
      </c>
      <c r="BP296" s="364">
        <v>0</v>
      </c>
      <c r="BQ296" s="364">
        <v>0</v>
      </c>
      <c r="BR296" s="364">
        <v>0</v>
      </c>
      <c r="BS296" s="364">
        <v>0</v>
      </c>
      <c r="BT296" s="364">
        <v>0</v>
      </c>
      <c r="BU296" s="364">
        <v>0</v>
      </c>
      <c r="BV296" s="364">
        <v>0</v>
      </c>
      <c r="BW296" s="364">
        <v>0</v>
      </c>
      <c r="BX296" s="364">
        <v>0</v>
      </c>
      <c r="BY296" s="364">
        <v>0</v>
      </c>
      <c r="BZ296" s="364">
        <v>0</v>
      </c>
      <c r="CA296" s="364">
        <v>0</v>
      </c>
      <c r="CB296" s="364">
        <v>0</v>
      </c>
      <c r="CC296" s="364">
        <v>0</v>
      </c>
      <c r="CD296" s="364">
        <v>0</v>
      </c>
      <c r="CE296" s="364">
        <v>0</v>
      </c>
      <c r="CF296" s="364">
        <v>0</v>
      </c>
      <c r="CG296" s="364">
        <v>0</v>
      </c>
      <c r="CH296" s="364">
        <v>0</v>
      </c>
      <c r="CI296" s="364">
        <v>0</v>
      </c>
      <c r="CJ296" s="364">
        <v>0</v>
      </c>
      <c r="CK296" s="364">
        <v>0</v>
      </c>
      <c r="CL296" s="364">
        <v>0</v>
      </c>
      <c r="CM296" s="364">
        <v>0</v>
      </c>
      <c r="CN296" s="364">
        <v>0</v>
      </c>
      <c r="CO296" s="364">
        <v>0</v>
      </c>
      <c r="CP296" s="364">
        <v>0</v>
      </c>
      <c r="CQ296" s="364">
        <v>0</v>
      </c>
      <c r="CR296" s="364">
        <v>0</v>
      </c>
      <c r="CS296" s="364">
        <v>0</v>
      </c>
      <c r="CT296" s="364">
        <v>0</v>
      </c>
      <c r="CU296" s="364">
        <v>0</v>
      </c>
      <c r="CV296" s="364">
        <v>0</v>
      </c>
      <c r="CW296" s="364">
        <v>0</v>
      </c>
      <c r="CX296" s="364">
        <v>0</v>
      </c>
      <c r="CY296" s="364">
        <v>0</v>
      </c>
      <c r="CZ296" s="364">
        <v>0</v>
      </c>
      <c r="DA296" s="364">
        <v>0</v>
      </c>
      <c r="DB296" s="364">
        <v>0</v>
      </c>
      <c r="DC296" s="364">
        <v>0</v>
      </c>
      <c r="DD296" s="364">
        <v>0</v>
      </c>
      <c r="DE296" s="364">
        <v>0</v>
      </c>
      <c r="DF296" s="364">
        <v>0</v>
      </c>
      <c r="DG296" s="364">
        <v>0</v>
      </c>
      <c r="DH296" s="364">
        <v>0</v>
      </c>
      <c r="DI296" s="364">
        <v>0</v>
      </c>
      <c r="DJ296" s="364">
        <v>0</v>
      </c>
      <c r="DK296" s="364">
        <v>0</v>
      </c>
      <c r="DL296" s="364">
        <v>0</v>
      </c>
      <c r="DM296" s="364">
        <v>0</v>
      </c>
      <c r="DN296" s="364">
        <v>0</v>
      </c>
      <c r="DO296" s="364">
        <v>0</v>
      </c>
      <c r="DP296" s="364">
        <v>0</v>
      </c>
      <c r="DQ296" s="364">
        <v>0</v>
      </c>
      <c r="DR296" s="364">
        <v>0</v>
      </c>
      <c r="DS296" s="364">
        <v>0</v>
      </c>
      <c r="DT296" s="364">
        <v>0</v>
      </c>
      <c r="DU296" s="364">
        <v>0</v>
      </c>
      <c r="DV296" s="364">
        <v>0</v>
      </c>
      <c r="DW296" s="649">
        <f t="shared" si="37"/>
        <v>0</v>
      </c>
      <c r="DX296" s="869"/>
      <c r="DY296" s="706"/>
      <c r="DZ296" s="872"/>
      <c r="EA296" s="874"/>
      <c r="EB296" s="860"/>
      <c r="EC296" s="860"/>
      <c r="ED296" s="860"/>
      <c r="EE296" s="860"/>
      <c r="EF296" s="862"/>
      <c r="EG296" s="1107"/>
      <c r="EI296" s="858"/>
      <c r="EJ296" s="877"/>
      <c r="ER296" s="497"/>
    </row>
    <row r="297" spans="1:148" s="278" customFormat="1" ht="24" outlineLevel="2" x14ac:dyDescent="0.2">
      <c r="A297" s="905" t="s">
        <v>557</v>
      </c>
      <c r="B297" s="897" t="s">
        <v>487</v>
      </c>
      <c r="C297" s="902"/>
      <c r="D297" s="863">
        <f>+IFERROR(VLOOKUP(B297,'Detalle Plan de Adquisiciones'!$G$53:$L$153,6,FALSE),0)</f>
        <v>0</v>
      </c>
      <c r="E297" s="866" t="s">
        <v>417</v>
      </c>
      <c r="F297" s="312" t="s">
        <v>410</v>
      </c>
      <c r="G297" s="354">
        <v>0</v>
      </c>
      <c r="H297" s="354">
        <v>0</v>
      </c>
      <c r="I297" s="354">
        <v>0</v>
      </c>
      <c r="J297" s="354">
        <v>0</v>
      </c>
      <c r="K297" s="354">
        <v>0</v>
      </c>
      <c r="L297" s="354">
        <v>0</v>
      </c>
      <c r="M297" s="354">
        <v>0</v>
      </c>
      <c r="N297" s="354">
        <v>0</v>
      </c>
      <c r="O297" s="354">
        <v>0</v>
      </c>
      <c r="P297" s="354">
        <v>0</v>
      </c>
      <c r="Q297" s="354">
        <v>0</v>
      </c>
      <c r="R297" s="354">
        <v>0</v>
      </c>
      <c r="S297" s="354">
        <v>0</v>
      </c>
      <c r="T297" s="354">
        <v>0</v>
      </c>
      <c r="U297" s="354">
        <v>0</v>
      </c>
      <c r="V297" s="354">
        <v>0</v>
      </c>
      <c r="W297" s="354">
        <v>0</v>
      </c>
      <c r="X297" s="354">
        <v>0</v>
      </c>
      <c r="Y297" s="354">
        <v>0</v>
      </c>
      <c r="Z297" s="354">
        <v>0</v>
      </c>
      <c r="AA297" s="354">
        <v>0</v>
      </c>
      <c r="AB297" s="354">
        <v>0</v>
      </c>
      <c r="AC297" s="354">
        <v>0</v>
      </c>
      <c r="AD297" s="354">
        <v>0</v>
      </c>
      <c r="AE297" s="354">
        <v>0</v>
      </c>
      <c r="AF297" s="354">
        <v>0</v>
      </c>
      <c r="AG297" s="354">
        <v>0</v>
      </c>
      <c r="AH297" s="354">
        <v>0</v>
      </c>
      <c r="AI297" s="354">
        <v>0</v>
      </c>
      <c r="AJ297" s="354">
        <v>0</v>
      </c>
      <c r="AK297" s="354">
        <v>0</v>
      </c>
      <c r="AL297" s="354">
        <v>0</v>
      </c>
      <c r="AM297" s="354">
        <v>0</v>
      </c>
      <c r="AN297" s="354">
        <v>0</v>
      </c>
      <c r="AO297" s="354">
        <v>0</v>
      </c>
      <c r="AP297" s="354">
        <v>0</v>
      </c>
      <c r="AQ297" s="354">
        <v>0</v>
      </c>
      <c r="AR297" s="354">
        <v>0</v>
      </c>
      <c r="AS297" s="354">
        <v>0</v>
      </c>
      <c r="AT297" s="354">
        <v>0</v>
      </c>
      <c r="AU297" s="354">
        <v>0</v>
      </c>
      <c r="AV297" s="354">
        <v>0</v>
      </c>
      <c r="AW297" s="354">
        <v>0</v>
      </c>
      <c r="AX297" s="354">
        <v>0</v>
      </c>
      <c r="AY297" s="354">
        <v>0</v>
      </c>
      <c r="AZ297" s="354">
        <v>0</v>
      </c>
      <c r="BA297" s="354">
        <v>0</v>
      </c>
      <c r="BB297" s="354">
        <v>0</v>
      </c>
      <c r="BC297" s="354">
        <v>0</v>
      </c>
      <c r="BD297" s="354">
        <v>0</v>
      </c>
      <c r="BE297" s="354">
        <v>0</v>
      </c>
      <c r="BF297" s="354">
        <v>0</v>
      </c>
      <c r="BG297" s="354">
        <v>0</v>
      </c>
      <c r="BH297" s="354">
        <v>0</v>
      </c>
      <c r="BI297" s="354">
        <v>0</v>
      </c>
      <c r="BJ297" s="354">
        <v>0</v>
      </c>
      <c r="BK297" s="354">
        <v>0</v>
      </c>
      <c r="BL297" s="354">
        <v>0</v>
      </c>
      <c r="BM297" s="354">
        <v>0</v>
      </c>
      <c r="BN297" s="354">
        <v>0</v>
      </c>
      <c r="BO297" s="354">
        <v>0</v>
      </c>
      <c r="BP297" s="354">
        <v>0</v>
      </c>
      <c r="BQ297" s="354">
        <v>0</v>
      </c>
      <c r="BR297" s="354">
        <v>0</v>
      </c>
      <c r="BS297" s="354">
        <v>0</v>
      </c>
      <c r="BT297" s="354">
        <v>0</v>
      </c>
      <c r="BU297" s="354">
        <v>0</v>
      </c>
      <c r="BV297" s="354">
        <v>0</v>
      </c>
      <c r="BW297" s="354">
        <v>0</v>
      </c>
      <c r="BX297" s="354">
        <v>0</v>
      </c>
      <c r="BY297" s="354">
        <v>0</v>
      </c>
      <c r="BZ297" s="354">
        <v>0</v>
      </c>
      <c r="CA297" s="354">
        <v>0</v>
      </c>
      <c r="CB297" s="354">
        <v>0</v>
      </c>
      <c r="CC297" s="354">
        <v>0</v>
      </c>
      <c r="CD297" s="354">
        <v>0</v>
      </c>
      <c r="CE297" s="354">
        <v>0</v>
      </c>
      <c r="CF297" s="354">
        <v>0</v>
      </c>
      <c r="CG297" s="354">
        <v>0</v>
      </c>
      <c r="CH297" s="354">
        <v>0</v>
      </c>
      <c r="CI297" s="354">
        <v>0</v>
      </c>
      <c r="CJ297" s="354">
        <v>0</v>
      </c>
      <c r="CK297" s="354">
        <v>0</v>
      </c>
      <c r="CL297" s="354">
        <v>0</v>
      </c>
      <c r="CM297" s="354"/>
      <c r="CN297" s="354"/>
      <c r="CO297" s="354"/>
      <c r="CP297" s="354"/>
      <c r="CQ297" s="354"/>
      <c r="CR297" s="354"/>
      <c r="CS297" s="354"/>
      <c r="CT297" s="354"/>
      <c r="CU297" s="354"/>
      <c r="CV297" s="354"/>
      <c r="CW297" s="354"/>
      <c r="CX297" s="354"/>
      <c r="CY297" s="354"/>
      <c r="CZ297" s="354"/>
      <c r="DA297" s="354"/>
      <c r="DB297" s="354"/>
      <c r="DC297" s="354"/>
      <c r="DD297" s="354"/>
      <c r="DE297" s="354"/>
      <c r="DF297" s="354"/>
      <c r="DG297" s="354"/>
      <c r="DH297" s="354"/>
      <c r="DI297" s="354"/>
      <c r="DJ297" s="354"/>
      <c r="DK297" s="354"/>
      <c r="DL297" s="354"/>
      <c r="DM297" s="354"/>
      <c r="DN297" s="354"/>
      <c r="DO297" s="354"/>
      <c r="DP297" s="354"/>
      <c r="DQ297" s="354"/>
      <c r="DR297" s="354"/>
      <c r="DS297" s="354"/>
      <c r="DT297" s="354"/>
      <c r="DU297" s="354"/>
      <c r="DV297" s="354"/>
      <c r="DW297" s="543">
        <f t="shared" si="37"/>
        <v>0</v>
      </c>
      <c r="DX297" s="858">
        <f>DW297+DW298+DW299</f>
        <v>0</v>
      </c>
      <c r="DY297" s="704">
        <f>+DX297*1000000</f>
        <v>0</v>
      </c>
      <c r="DZ297" s="870">
        <f>+DY297-D297</f>
        <v>0</v>
      </c>
      <c r="EA297" s="873" t="str">
        <f>VLOOKUP(POA!$B297,INTERPLAN,28,0)</f>
        <v>N/A</v>
      </c>
      <c r="EB297" s="859" t="e">
        <f>+EDATE(EA297,C298)</f>
        <v>#VALUE!</v>
      </c>
      <c r="EC297" s="859" t="e">
        <f>EB297+30</f>
        <v>#VALUE!</v>
      </c>
      <c r="ED297" s="859" t="e">
        <f>CONCATENATE(MONTH(EA297),"-",YEAR(EA297))</f>
        <v>#VALUE!</v>
      </c>
      <c r="EE297" s="859" t="e">
        <f>CONCATENATE(MONTH(EB297),"-",YEAR(EB297))</f>
        <v>#VALUE!</v>
      </c>
      <c r="EF297" s="861" t="e">
        <f>CONCATENATE(MONTH(EC297),"-",YEAR(EC297))</f>
        <v>#VALUE!</v>
      </c>
      <c r="EG297" s="1105" t="e">
        <f>+YEAR(EA297)</f>
        <v>#VALUE!</v>
      </c>
      <c r="EI297" s="858">
        <f>+DW297+DW298+DW299</f>
        <v>0</v>
      </c>
      <c r="EJ297" s="877">
        <f>+D297/1000000-EI297</f>
        <v>0</v>
      </c>
      <c r="ER297" s="497"/>
    </row>
    <row r="298" spans="1:148" s="278" customFormat="1" outlineLevel="2" x14ac:dyDescent="0.2">
      <c r="A298" s="906"/>
      <c r="B298" s="886"/>
      <c r="C298" s="903"/>
      <c r="D298" s="864"/>
      <c r="E298" s="867"/>
      <c r="F298" s="311" t="s">
        <v>210</v>
      </c>
      <c r="G298" s="363">
        <v>0</v>
      </c>
      <c r="H298" s="363">
        <v>0</v>
      </c>
      <c r="I298" s="363">
        <v>0</v>
      </c>
      <c r="J298" s="363">
        <v>0</v>
      </c>
      <c r="K298" s="363">
        <v>0</v>
      </c>
      <c r="L298" s="363">
        <v>0</v>
      </c>
      <c r="M298" s="363">
        <v>0</v>
      </c>
      <c r="N298" s="363">
        <v>0</v>
      </c>
      <c r="O298" s="363">
        <v>0</v>
      </c>
      <c r="P298" s="363">
        <v>0</v>
      </c>
      <c r="Q298" s="363">
        <v>0</v>
      </c>
      <c r="R298" s="363">
        <v>0</v>
      </c>
      <c r="S298" s="363">
        <v>0</v>
      </c>
      <c r="T298" s="363">
        <v>0</v>
      </c>
      <c r="U298" s="363">
        <v>0</v>
      </c>
      <c r="V298" s="363">
        <v>0</v>
      </c>
      <c r="W298" s="363">
        <v>0</v>
      </c>
      <c r="X298" s="363">
        <v>0</v>
      </c>
      <c r="Y298" s="363">
        <v>0</v>
      </c>
      <c r="Z298" s="363">
        <v>0</v>
      </c>
      <c r="AA298" s="363">
        <v>0</v>
      </c>
      <c r="AB298" s="363">
        <v>0</v>
      </c>
      <c r="AC298" s="363">
        <v>0</v>
      </c>
      <c r="AD298" s="363">
        <v>0</v>
      </c>
      <c r="AE298" s="363">
        <v>0</v>
      </c>
      <c r="AF298" s="363">
        <v>0</v>
      </c>
      <c r="AG298" s="363">
        <v>0</v>
      </c>
      <c r="AH298" s="363">
        <v>0</v>
      </c>
      <c r="AI298" s="363">
        <v>0</v>
      </c>
      <c r="AJ298" s="363">
        <v>0</v>
      </c>
      <c r="AK298" s="363">
        <v>0</v>
      </c>
      <c r="AL298" s="363">
        <v>0</v>
      </c>
      <c r="AM298" s="363">
        <v>0</v>
      </c>
      <c r="AN298" s="363">
        <v>0</v>
      </c>
      <c r="AO298" s="363">
        <v>0</v>
      </c>
      <c r="AP298" s="363">
        <v>0</v>
      </c>
      <c r="AQ298" s="363">
        <v>0</v>
      </c>
      <c r="AR298" s="363">
        <v>0</v>
      </c>
      <c r="AS298" s="363">
        <v>0</v>
      </c>
      <c r="AT298" s="363">
        <v>0</v>
      </c>
      <c r="AU298" s="363">
        <v>0</v>
      </c>
      <c r="AV298" s="363">
        <v>0</v>
      </c>
      <c r="AW298" s="363">
        <v>0</v>
      </c>
      <c r="AX298" s="363">
        <v>0</v>
      </c>
      <c r="AY298" s="363">
        <v>0</v>
      </c>
      <c r="AZ298" s="363">
        <v>0</v>
      </c>
      <c r="BA298" s="363">
        <v>0</v>
      </c>
      <c r="BB298" s="363">
        <v>0</v>
      </c>
      <c r="BC298" s="363">
        <v>0</v>
      </c>
      <c r="BD298" s="363">
        <v>0</v>
      </c>
      <c r="BE298" s="363">
        <v>0</v>
      </c>
      <c r="BF298" s="363">
        <v>0</v>
      </c>
      <c r="BG298" s="363">
        <v>0</v>
      </c>
      <c r="BH298" s="363">
        <v>0</v>
      </c>
      <c r="BI298" s="363">
        <v>0</v>
      </c>
      <c r="BJ298" s="363">
        <v>0</v>
      </c>
      <c r="BK298" s="363">
        <v>0</v>
      </c>
      <c r="BL298" s="363">
        <v>0</v>
      </c>
      <c r="BM298" s="363">
        <v>0</v>
      </c>
      <c r="BN298" s="363">
        <v>0</v>
      </c>
      <c r="BO298" s="363">
        <v>0</v>
      </c>
      <c r="BP298" s="363">
        <v>0</v>
      </c>
      <c r="BQ298" s="363">
        <v>0</v>
      </c>
      <c r="BR298" s="363">
        <v>0</v>
      </c>
      <c r="BS298" s="363">
        <v>0</v>
      </c>
      <c r="BT298" s="363">
        <v>0</v>
      </c>
      <c r="BU298" s="363">
        <v>0</v>
      </c>
      <c r="BV298" s="363">
        <v>0</v>
      </c>
      <c r="BW298" s="363">
        <v>0</v>
      </c>
      <c r="BX298" s="363">
        <v>0</v>
      </c>
      <c r="BY298" s="363">
        <v>0</v>
      </c>
      <c r="BZ298" s="363">
        <v>0</v>
      </c>
      <c r="CA298" s="363">
        <v>0</v>
      </c>
      <c r="CB298" s="363">
        <v>0</v>
      </c>
      <c r="CC298" s="363">
        <v>0</v>
      </c>
      <c r="CD298" s="363">
        <v>0</v>
      </c>
      <c r="CE298" s="363">
        <v>0</v>
      </c>
      <c r="CF298" s="363">
        <v>0</v>
      </c>
      <c r="CG298" s="363">
        <v>0</v>
      </c>
      <c r="CH298" s="363">
        <v>0</v>
      </c>
      <c r="CI298" s="363">
        <v>0</v>
      </c>
      <c r="CJ298" s="363">
        <v>0</v>
      </c>
      <c r="CK298" s="363">
        <v>0</v>
      </c>
      <c r="CL298" s="363">
        <v>0</v>
      </c>
      <c r="CM298" s="363"/>
      <c r="CN298" s="363"/>
      <c r="CO298" s="363"/>
      <c r="CP298" s="363"/>
      <c r="CQ298" s="363"/>
      <c r="CR298" s="363"/>
      <c r="CS298" s="363"/>
      <c r="CT298" s="363"/>
      <c r="CU298" s="363"/>
      <c r="CV298" s="363"/>
      <c r="CW298" s="363"/>
      <c r="CX298" s="363"/>
      <c r="CY298" s="363"/>
      <c r="CZ298" s="363"/>
      <c r="DA298" s="363"/>
      <c r="DB298" s="363"/>
      <c r="DC298" s="363"/>
      <c r="DD298" s="363"/>
      <c r="DE298" s="363"/>
      <c r="DF298" s="363"/>
      <c r="DG298" s="363"/>
      <c r="DH298" s="363"/>
      <c r="DI298" s="363"/>
      <c r="DJ298" s="363"/>
      <c r="DK298" s="363"/>
      <c r="DL298" s="363"/>
      <c r="DM298" s="363"/>
      <c r="DN298" s="363"/>
      <c r="DO298" s="363"/>
      <c r="DP298" s="363"/>
      <c r="DQ298" s="363"/>
      <c r="DR298" s="363"/>
      <c r="DS298" s="363"/>
      <c r="DT298" s="363"/>
      <c r="DU298" s="363"/>
      <c r="DV298" s="363"/>
      <c r="DW298" s="544">
        <f t="shared" si="37"/>
        <v>0</v>
      </c>
      <c r="DX298" s="858"/>
      <c r="DY298" s="705"/>
      <c r="DZ298" s="871"/>
      <c r="EA298" s="873"/>
      <c r="EB298" s="859"/>
      <c r="EC298" s="859"/>
      <c r="ED298" s="859"/>
      <c r="EE298" s="859"/>
      <c r="EF298" s="861"/>
      <c r="EG298" s="1106"/>
      <c r="EI298" s="858"/>
      <c r="EJ298" s="877"/>
      <c r="ER298" s="497"/>
    </row>
    <row r="299" spans="1:148" s="278" customFormat="1" ht="12.75" outlineLevel="2" thickBot="1" x14ac:dyDescent="0.25">
      <c r="A299" s="907"/>
      <c r="B299" s="908"/>
      <c r="C299" s="909"/>
      <c r="D299" s="876"/>
      <c r="E299" s="875"/>
      <c r="F299" s="313" t="s">
        <v>211</v>
      </c>
      <c r="G299" s="387">
        <v>0</v>
      </c>
      <c r="H299" s="387">
        <v>0</v>
      </c>
      <c r="I299" s="387">
        <v>0</v>
      </c>
      <c r="J299" s="387">
        <v>0</v>
      </c>
      <c r="K299" s="387">
        <v>0</v>
      </c>
      <c r="L299" s="387">
        <v>0</v>
      </c>
      <c r="M299" s="387">
        <v>0</v>
      </c>
      <c r="N299" s="387">
        <v>0</v>
      </c>
      <c r="O299" s="387">
        <v>0</v>
      </c>
      <c r="P299" s="387">
        <v>0</v>
      </c>
      <c r="Q299" s="387">
        <v>0</v>
      </c>
      <c r="R299" s="387">
        <v>0</v>
      </c>
      <c r="S299" s="387">
        <v>0</v>
      </c>
      <c r="T299" s="387">
        <v>0</v>
      </c>
      <c r="U299" s="387">
        <v>0</v>
      </c>
      <c r="V299" s="387">
        <v>0</v>
      </c>
      <c r="W299" s="387">
        <v>0</v>
      </c>
      <c r="X299" s="387">
        <v>0</v>
      </c>
      <c r="Y299" s="387">
        <v>0</v>
      </c>
      <c r="Z299" s="387">
        <v>0</v>
      </c>
      <c r="AA299" s="387">
        <v>0</v>
      </c>
      <c r="AB299" s="387">
        <v>0</v>
      </c>
      <c r="AC299" s="387">
        <v>0</v>
      </c>
      <c r="AD299" s="387">
        <v>0</v>
      </c>
      <c r="AE299" s="387">
        <v>0</v>
      </c>
      <c r="AF299" s="387">
        <v>0</v>
      </c>
      <c r="AG299" s="387">
        <v>0</v>
      </c>
      <c r="AH299" s="387">
        <v>0</v>
      </c>
      <c r="AI299" s="387">
        <v>0</v>
      </c>
      <c r="AJ299" s="387">
        <v>0</v>
      </c>
      <c r="AK299" s="387">
        <v>0</v>
      </c>
      <c r="AL299" s="387">
        <v>0</v>
      </c>
      <c r="AM299" s="387">
        <v>0</v>
      </c>
      <c r="AN299" s="387">
        <v>0</v>
      </c>
      <c r="AO299" s="387">
        <v>0</v>
      </c>
      <c r="AP299" s="387">
        <v>0</v>
      </c>
      <c r="AQ299" s="387">
        <v>0</v>
      </c>
      <c r="AR299" s="387">
        <v>0</v>
      </c>
      <c r="AS299" s="387">
        <v>0</v>
      </c>
      <c r="AT299" s="387">
        <v>0</v>
      </c>
      <c r="AU299" s="387">
        <v>0</v>
      </c>
      <c r="AV299" s="387">
        <v>0</v>
      </c>
      <c r="AW299" s="387">
        <v>0</v>
      </c>
      <c r="AX299" s="387">
        <v>0</v>
      </c>
      <c r="AY299" s="387">
        <v>0</v>
      </c>
      <c r="AZ299" s="387">
        <v>0</v>
      </c>
      <c r="BA299" s="387">
        <v>0</v>
      </c>
      <c r="BB299" s="387">
        <v>0</v>
      </c>
      <c r="BC299" s="387">
        <v>0</v>
      </c>
      <c r="BD299" s="387">
        <v>0</v>
      </c>
      <c r="BE299" s="387">
        <v>0</v>
      </c>
      <c r="BF299" s="387">
        <v>0</v>
      </c>
      <c r="BG299" s="387">
        <v>0</v>
      </c>
      <c r="BH299" s="387">
        <v>0</v>
      </c>
      <c r="BI299" s="387">
        <v>0</v>
      </c>
      <c r="BJ299" s="387">
        <v>0</v>
      </c>
      <c r="BK299" s="387">
        <v>0</v>
      </c>
      <c r="BL299" s="387">
        <v>0</v>
      </c>
      <c r="BM299" s="387">
        <v>0</v>
      </c>
      <c r="BN299" s="387">
        <v>0</v>
      </c>
      <c r="BO299" s="387">
        <v>0</v>
      </c>
      <c r="BP299" s="387">
        <v>0</v>
      </c>
      <c r="BQ299" s="387">
        <v>0</v>
      </c>
      <c r="BR299" s="387">
        <v>0</v>
      </c>
      <c r="BS299" s="387">
        <v>0</v>
      </c>
      <c r="BT299" s="387">
        <v>0</v>
      </c>
      <c r="BU299" s="387">
        <v>0</v>
      </c>
      <c r="BV299" s="387">
        <v>0</v>
      </c>
      <c r="BW299" s="387">
        <v>0</v>
      </c>
      <c r="BX299" s="387">
        <v>0</v>
      </c>
      <c r="BY299" s="387">
        <v>0</v>
      </c>
      <c r="BZ299" s="387">
        <v>0</v>
      </c>
      <c r="CA299" s="387">
        <v>0</v>
      </c>
      <c r="CB299" s="387">
        <v>0</v>
      </c>
      <c r="CC299" s="387">
        <v>0</v>
      </c>
      <c r="CD299" s="387">
        <v>0</v>
      </c>
      <c r="CE299" s="387">
        <v>0</v>
      </c>
      <c r="CF299" s="387">
        <v>0</v>
      </c>
      <c r="CG299" s="387">
        <v>0</v>
      </c>
      <c r="CH299" s="387">
        <v>0</v>
      </c>
      <c r="CI299" s="387">
        <v>0</v>
      </c>
      <c r="CJ299" s="387">
        <v>0</v>
      </c>
      <c r="CK299" s="387">
        <v>0</v>
      </c>
      <c r="CL299" s="387">
        <v>0</v>
      </c>
      <c r="CM299" s="387"/>
      <c r="CN299" s="387"/>
      <c r="CO299" s="387"/>
      <c r="CP299" s="387"/>
      <c r="CQ299" s="387"/>
      <c r="CR299" s="387"/>
      <c r="CS299" s="387"/>
      <c r="CT299" s="387"/>
      <c r="CU299" s="387"/>
      <c r="CV299" s="387"/>
      <c r="CW299" s="387"/>
      <c r="CX299" s="387"/>
      <c r="CY299" s="387"/>
      <c r="CZ299" s="387"/>
      <c r="DA299" s="387"/>
      <c r="DB299" s="387"/>
      <c r="DC299" s="387"/>
      <c r="DD299" s="387"/>
      <c r="DE299" s="387"/>
      <c r="DF299" s="387"/>
      <c r="DG299" s="387"/>
      <c r="DH299" s="387"/>
      <c r="DI299" s="387"/>
      <c r="DJ299" s="387"/>
      <c r="DK299" s="387"/>
      <c r="DL299" s="387"/>
      <c r="DM299" s="387"/>
      <c r="DN299" s="387"/>
      <c r="DO299" s="387"/>
      <c r="DP299" s="387"/>
      <c r="DQ299" s="387"/>
      <c r="DR299" s="387"/>
      <c r="DS299" s="387"/>
      <c r="DT299" s="387"/>
      <c r="DU299" s="387"/>
      <c r="DV299" s="387"/>
      <c r="DW299" s="545">
        <f t="shared" si="37"/>
        <v>0</v>
      </c>
      <c r="DX299" s="869"/>
      <c r="DY299" s="706"/>
      <c r="DZ299" s="872"/>
      <c r="EA299" s="874"/>
      <c r="EB299" s="860"/>
      <c r="EC299" s="860"/>
      <c r="ED299" s="860"/>
      <c r="EE299" s="860"/>
      <c r="EF299" s="862"/>
      <c r="EG299" s="1107"/>
      <c r="EI299" s="858"/>
      <c r="EJ299" s="877"/>
      <c r="ER299" s="497"/>
    </row>
    <row r="300" spans="1:148" s="278" customFormat="1" ht="24" outlineLevel="2" x14ac:dyDescent="0.2">
      <c r="A300" s="905" t="s">
        <v>557</v>
      </c>
      <c r="B300" s="897" t="s">
        <v>358</v>
      </c>
      <c r="C300" s="902"/>
      <c r="D300" s="863">
        <f>+IFERROR(VLOOKUP(B300,'Detalle Plan de Adquisiciones'!$G$53:$L$153,6,FALSE),0)</f>
        <v>0</v>
      </c>
      <c r="E300" s="866" t="s">
        <v>418</v>
      </c>
      <c r="F300" s="312" t="s">
        <v>410</v>
      </c>
      <c r="G300" s="354">
        <v>0</v>
      </c>
      <c r="H300" s="354">
        <v>0</v>
      </c>
      <c r="I300" s="354">
        <v>0</v>
      </c>
      <c r="J300" s="354">
        <v>0</v>
      </c>
      <c r="K300" s="354">
        <v>0</v>
      </c>
      <c r="L300" s="354">
        <v>0</v>
      </c>
      <c r="M300" s="354">
        <v>0</v>
      </c>
      <c r="N300" s="354">
        <v>0</v>
      </c>
      <c r="O300" s="354">
        <v>0</v>
      </c>
      <c r="P300" s="354">
        <v>0</v>
      </c>
      <c r="Q300" s="354">
        <v>0</v>
      </c>
      <c r="R300" s="354">
        <v>0</v>
      </c>
      <c r="S300" s="354">
        <v>0</v>
      </c>
      <c r="T300" s="354">
        <v>0</v>
      </c>
      <c r="U300" s="354">
        <v>0</v>
      </c>
      <c r="V300" s="354">
        <v>0</v>
      </c>
      <c r="W300" s="354">
        <v>0</v>
      </c>
      <c r="X300" s="354">
        <v>0</v>
      </c>
      <c r="Y300" s="354">
        <v>0</v>
      </c>
      <c r="Z300" s="354">
        <v>0</v>
      </c>
      <c r="AA300" s="354">
        <v>0</v>
      </c>
      <c r="AB300" s="354">
        <v>0</v>
      </c>
      <c r="AC300" s="354">
        <v>0</v>
      </c>
      <c r="AD300" s="354">
        <v>0</v>
      </c>
      <c r="AE300" s="354">
        <v>0</v>
      </c>
      <c r="AF300" s="354">
        <v>0</v>
      </c>
      <c r="AG300" s="354">
        <v>0</v>
      </c>
      <c r="AH300" s="354">
        <v>0</v>
      </c>
      <c r="AI300" s="354">
        <v>0</v>
      </c>
      <c r="AJ300" s="354">
        <v>0</v>
      </c>
      <c r="AK300" s="354">
        <v>0</v>
      </c>
      <c r="AL300" s="354">
        <v>0</v>
      </c>
      <c r="AM300" s="354">
        <v>0</v>
      </c>
      <c r="AN300" s="354">
        <v>0</v>
      </c>
      <c r="AO300" s="354">
        <v>0</v>
      </c>
      <c r="AP300" s="354">
        <v>0</v>
      </c>
      <c r="AQ300" s="354">
        <v>0</v>
      </c>
      <c r="AR300" s="354">
        <v>0</v>
      </c>
      <c r="AS300" s="354">
        <v>0</v>
      </c>
      <c r="AT300" s="354">
        <v>0</v>
      </c>
      <c r="AU300" s="354">
        <v>0</v>
      </c>
      <c r="AV300" s="354">
        <v>0</v>
      </c>
      <c r="AW300" s="354">
        <v>0</v>
      </c>
      <c r="AX300" s="354">
        <v>0</v>
      </c>
      <c r="AY300" s="354">
        <v>0</v>
      </c>
      <c r="AZ300" s="354">
        <v>0</v>
      </c>
      <c r="BA300" s="354">
        <v>0</v>
      </c>
      <c r="BB300" s="354">
        <v>0</v>
      </c>
      <c r="BC300" s="354">
        <v>0</v>
      </c>
      <c r="BD300" s="354">
        <v>0</v>
      </c>
      <c r="BE300" s="354">
        <v>0</v>
      </c>
      <c r="BF300" s="354">
        <v>0</v>
      </c>
      <c r="BG300" s="354">
        <v>0</v>
      </c>
      <c r="BH300" s="354">
        <v>0</v>
      </c>
      <c r="BI300" s="354">
        <v>0</v>
      </c>
      <c r="BJ300" s="354">
        <v>0</v>
      </c>
      <c r="BK300" s="354">
        <v>0</v>
      </c>
      <c r="BL300" s="354">
        <v>0</v>
      </c>
      <c r="BM300" s="354">
        <v>0</v>
      </c>
      <c r="BN300" s="354">
        <v>0</v>
      </c>
      <c r="BO300" s="354">
        <v>0</v>
      </c>
      <c r="BP300" s="354">
        <v>0</v>
      </c>
      <c r="BQ300" s="354">
        <v>0</v>
      </c>
      <c r="BR300" s="354">
        <v>0</v>
      </c>
      <c r="BS300" s="354">
        <v>0</v>
      </c>
      <c r="BT300" s="354">
        <v>0</v>
      </c>
      <c r="BU300" s="354">
        <v>0</v>
      </c>
      <c r="BV300" s="354">
        <v>0</v>
      </c>
      <c r="BW300" s="354">
        <v>0</v>
      </c>
      <c r="BX300" s="354">
        <v>0</v>
      </c>
      <c r="BY300" s="354">
        <v>0</v>
      </c>
      <c r="BZ300" s="354">
        <v>0</v>
      </c>
      <c r="CA300" s="354">
        <v>0</v>
      </c>
      <c r="CB300" s="354">
        <v>0</v>
      </c>
      <c r="CC300" s="354">
        <v>0</v>
      </c>
      <c r="CD300" s="354">
        <v>0</v>
      </c>
      <c r="CE300" s="354">
        <v>0</v>
      </c>
      <c r="CF300" s="354">
        <v>0</v>
      </c>
      <c r="CG300" s="354">
        <v>0</v>
      </c>
      <c r="CH300" s="354">
        <v>0</v>
      </c>
      <c r="CI300" s="354">
        <v>0</v>
      </c>
      <c r="CJ300" s="354">
        <v>0</v>
      </c>
      <c r="CK300" s="354">
        <v>0</v>
      </c>
      <c r="CL300" s="354">
        <v>0</v>
      </c>
      <c r="CM300" s="354"/>
      <c r="CN300" s="354"/>
      <c r="CO300" s="354"/>
      <c r="CP300" s="354"/>
      <c r="CQ300" s="354"/>
      <c r="CR300" s="354"/>
      <c r="CS300" s="354"/>
      <c r="CT300" s="354"/>
      <c r="CU300" s="354"/>
      <c r="CV300" s="354"/>
      <c r="CW300" s="354"/>
      <c r="CX300" s="354"/>
      <c r="CY300" s="354"/>
      <c r="CZ300" s="354"/>
      <c r="DA300" s="354"/>
      <c r="DB300" s="354"/>
      <c r="DC300" s="354"/>
      <c r="DD300" s="354"/>
      <c r="DE300" s="354"/>
      <c r="DF300" s="354"/>
      <c r="DG300" s="354"/>
      <c r="DH300" s="354"/>
      <c r="DI300" s="354"/>
      <c r="DJ300" s="354"/>
      <c r="DK300" s="354"/>
      <c r="DL300" s="354"/>
      <c r="DM300" s="354"/>
      <c r="DN300" s="354"/>
      <c r="DO300" s="354"/>
      <c r="DP300" s="354"/>
      <c r="DQ300" s="354"/>
      <c r="DR300" s="354"/>
      <c r="DS300" s="354"/>
      <c r="DT300" s="354"/>
      <c r="DU300" s="354"/>
      <c r="DV300" s="354"/>
      <c r="DW300" s="543">
        <f t="shared" si="37"/>
        <v>0</v>
      </c>
      <c r="DX300" s="858">
        <f>DW300+DW301+DW302</f>
        <v>0</v>
      </c>
      <c r="DY300" s="704">
        <f>+DX300*1000000</f>
        <v>0</v>
      </c>
      <c r="DZ300" s="870">
        <f>+DY300-D300</f>
        <v>0</v>
      </c>
      <c r="EA300" s="873" t="str">
        <f>VLOOKUP(POA!$B300,INTERPLAN,28,0)</f>
        <v>N/A</v>
      </c>
      <c r="EB300" s="859" t="e">
        <f>+EDATE(EA300,C301)</f>
        <v>#VALUE!</v>
      </c>
      <c r="EC300" s="859" t="e">
        <f>EB300+30</f>
        <v>#VALUE!</v>
      </c>
      <c r="ED300" s="859" t="e">
        <f>CONCATENATE(MONTH(EA300),"-",YEAR(EA300))</f>
        <v>#VALUE!</v>
      </c>
      <c r="EE300" s="859" t="e">
        <f>CONCATENATE(MONTH(EB300),"-",YEAR(EB300))</f>
        <v>#VALUE!</v>
      </c>
      <c r="EF300" s="861" t="e">
        <f>CONCATENATE(MONTH(EC300),"-",YEAR(EC300))</f>
        <v>#VALUE!</v>
      </c>
      <c r="EG300" s="1105" t="e">
        <f>+YEAR(EA300)</f>
        <v>#VALUE!</v>
      </c>
      <c r="EI300" s="858">
        <f>+DW300+DW301+DW302</f>
        <v>0</v>
      </c>
      <c r="EJ300" s="877">
        <f>+D300/1000000-EI300</f>
        <v>0</v>
      </c>
      <c r="ER300" s="497"/>
    </row>
    <row r="301" spans="1:148" s="278" customFormat="1" outlineLevel="2" x14ac:dyDescent="0.2">
      <c r="A301" s="906"/>
      <c r="B301" s="886"/>
      <c r="C301" s="903"/>
      <c r="D301" s="864"/>
      <c r="E301" s="867"/>
      <c r="F301" s="311" t="s">
        <v>210</v>
      </c>
      <c r="G301" s="363">
        <v>0</v>
      </c>
      <c r="H301" s="363">
        <v>0</v>
      </c>
      <c r="I301" s="363">
        <v>0</v>
      </c>
      <c r="J301" s="363">
        <v>0</v>
      </c>
      <c r="K301" s="363">
        <v>0</v>
      </c>
      <c r="L301" s="363">
        <v>0</v>
      </c>
      <c r="M301" s="363">
        <v>0</v>
      </c>
      <c r="N301" s="363">
        <v>0</v>
      </c>
      <c r="O301" s="363">
        <v>0</v>
      </c>
      <c r="P301" s="363">
        <v>0</v>
      </c>
      <c r="Q301" s="363">
        <v>0</v>
      </c>
      <c r="R301" s="363">
        <v>0</v>
      </c>
      <c r="S301" s="363">
        <v>0</v>
      </c>
      <c r="T301" s="363">
        <v>0</v>
      </c>
      <c r="U301" s="363">
        <v>0</v>
      </c>
      <c r="V301" s="363">
        <v>0</v>
      </c>
      <c r="W301" s="363">
        <v>0</v>
      </c>
      <c r="X301" s="363">
        <v>0</v>
      </c>
      <c r="Y301" s="363">
        <v>0</v>
      </c>
      <c r="Z301" s="363">
        <v>0</v>
      </c>
      <c r="AA301" s="363">
        <v>0</v>
      </c>
      <c r="AB301" s="363">
        <v>0</v>
      </c>
      <c r="AC301" s="363">
        <v>0</v>
      </c>
      <c r="AD301" s="363">
        <v>0</v>
      </c>
      <c r="AE301" s="363">
        <v>0</v>
      </c>
      <c r="AF301" s="363">
        <v>0</v>
      </c>
      <c r="AG301" s="363">
        <v>0</v>
      </c>
      <c r="AH301" s="363">
        <v>0</v>
      </c>
      <c r="AI301" s="363">
        <v>0</v>
      </c>
      <c r="AJ301" s="363">
        <v>0</v>
      </c>
      <c r="AK301" s="363">
        <v>0</v>
      </c>
      <c r="AL301" s="363">
        <v>0</v>
      </c>
      <c r="AM301" s="363">
        <v>0</v>
      </c>
      <c r="AN301" s="363">
        <v>0</v>
      </c>
      <c r="AO301" s="363">
        <v>0</v>
      </c>
      <c r="AP301" s="363">
        <v>0</v>
      </c>
      <c r="AQ301" s="363">
        <v>0</v>
      </c>
      <c r="AR301" s="363">
        <v>0</v>
      </c>
      <c r="AS301" s="363">
        <v>0</v>
      </c>
      <c r="AT301" s="363">
        <v>0</v>
      </c>
      <c r="AU301" s="363">
        <v>0</v>
      </c>
      <c r="AV301" s="363">
        <v>0</v>
      </c>
      <c r="AW301" s="363">
        <v>0</v>
      </c>
      <c r="AX301" s="363">
        <v>0</v>
      </c>
      <c r="AY301" s="363">
        <v>0</v>
      </c>
      <c r="AZ301" s="363">
        <v>0</v>
      </c>
      <c r="BA301" s="363">
        <v>0</v>
      </c>
      <c r="BB301" s="363">
        <v>0</v>
      </c>
      <c r="BC301" s="363">
        <v>0</v>
      </c>
      <c r="BD301" s="363">
        <v>0</v>
      </c>
      <c r="BE301" s="363">
        <v>0</v>
      </c>
      <c r="BF301" s="363">
        <v>0</v>
      </c>
      <c r="BG301" s="363">
        <v>0</v>
      </c>
      <c r="BH301" s="363">
        <v>0</v>
      </c>
      <c r="BI301" s="363">
        <v>0</v>
      </c>
      <c r="BJ301" s="363">
        <v>0</v>
      </c>
      <c r="BK301" s="363">
        <v>0</v>
      </c>
      <c r="BL301" s="363">
        <v>0</v>
      </c>
      <c r="BM301" s="363">
        <v>0</v>
      </c>
      <c r="BN301" s="363">
        <v>0</v>
      </c>
      <c r="BO301" s="363">
        <v>0</v>
      </c>
      <c r="BP301" s="363">
        <v>0</v>
      </c>
      <c r="BQ301" s="363">
        <v>0</v>
      </c>
      <c r="BR301" s="363">
        <v>0</v>
      </c>
      <c r="BS301" s="363">
        <v>0</v>
      </c>
      <c r="BT301" s="363">
        <v>0</v>
      </c>
      <c r="BU301" s="363">
        <v>0</v>
      </c>
      <c r="BV301" s="363">
        <v>0</v>
      </c>
      <c r="BW301" s="363">
        <v>0</v>
      </c>
      <c r="BX301" s="363">
        <v>0</v>
      </c>
      <c r="BY301" s="363">
        <v>0</v>
      </c>
      <c r="BZ301" s="363">
        <v>0</v>
      </c>
      <c r="CA301" s="363">
        <v>0</v>
      </c>
      <c r="CB301" s="363">
        <v>0</v>
      </c>
      <c r="CC301" s="363">
        <v>0</v>
      </c>
      <c r="CD301" s="363">
        <v>0</v>
      </c>
      <c r="CE301" s="363">
        <v>0</v>
      </c>
      <c r="CF301" s="363">
        <v>0</v>
      </c>
      <c r="CG301" s="363">
        <v>0</v>
      </c>
      <c r="CH301" s="363">
        <v>0</v>
      </c>
      <c r="CI301" s="363">
        <v>0</v>
      </c>
      <c r="CJ301" s="363">
        <v>0</v>
      </c>
      <c r="CK301" s="363">
        <v>0</v>
      </c>
      <c r="CL301" s="363">
        <v>0</v>
      </c>
      <c r="CM301" s="363"/>
      <c r="CN301" s="363"/>
      <c r="CO301" s="363"/>
      <c r="CP301" s="363"/>
      <c r="CQ301" s="363"/>
      <c r="CR301" s="363"/>
      <c r="CS301" s="363"/>
      <c r="CT301" s="363"/>
      <c r="CU301" s="363"/>
      <c r="CV301" s="363"/>
      <c r="CW301" s="363"/>
      <c r="CX301" s="363"/>
      <c r="CY301" s="363"/>
      <c r="CZ301" s="363"/>
      <c r="DA301" s="363"/>
      <c r="DB301" s="363"/>
      <c r="DC301" s="363"/>
      <c r="DD301" s="363"/>
      <c r="DE301" s="363"/>
      <c r="DF301" s="363"/>
      <c r="DG301" s="363"/>
      <c r="DH301" s="363"/>
      <c r="DI301" s="363"/>
      <c r="DJ301" s="363"/>
      <c r="DK301" s="363"/>
      <c r="DL301" s="363"/>
      <c r="DM301" s="363"/>
      <c r="DN301" s="363"/>
      <c r="DO301" s="363"/>
      <c r="DP301" s="363"/>
      <c r="DQ301" s="363"/>
      <c r="DR301" s="363"/>
      <c r="DS301" s="363"/>
      <c r="DT301" s="363"/>
      <c r="DU301" s="363"/>
      <c r="DV301" s="363"/>
      <c r="DW301" s="544">
        <f t="shared" si="37"/>
        <v>0</v>
      </c>
      <c r="DX301" s="858"/>
      <c r="DY301" s="705"/>
      <c r="DZ301" s="871"/>
      <c r="EA301" s="873"/>
      <c r="EB301" s="859"/>
      <c r="EC301" s="859"/>
      <c r="ED301" s="859"/>
      <c r="EE301" s="859"/>
      <c r="EF301" s="861"/>
      <c r="EG301" s="1106"/>
      <c r="EI301" s="858"/>
      <c r="EJ301" s="877"/>
      <c r="ER301" s="497"/>
    </row>
    <row r="302" spans="1:148" s="278" customFormat="1" ht="12.75" outlineLevel="2" thickBot="1" x14ac:dyDescent="0.25">
      <c r="A302" s="907"/>
      <c r="B302" s="908"/>
      <c r="C302" s="909"/>
      <c r="D302" s="876"/>
      <c r="E302" s="875"/>
      <c r="F302" s="313" t="s">
        <v>211</v>
      </c>
      <c r="G302" s="387">
        <v>0</v>
      </c>
      <c r="H302" s="387">
        <v>0</v>
      </c>
      <c r="I302" s="387">
        <v>0</v>
      </c>
      <c r="J302" s="387">
        <v>0</v>
      </c>
      <c r="K302" s="387">
        <v>0</v>
      </c>
      <c r="L302" s="387">
        <v>0</v>
      </c>
      <c r="M302" s="387">
        <v>0</v>
      </c>
      <c r="N302" s="387">
        <v>0</v>
      </c>
      <c r="O302" s="387">
        <v>0</v>
      </c>
      <c r="P302" s="387">
        <v>0</v>
      </c>
      <c r="Q302" s="387">
        <v>0</v>
      </c>
      <c r="R302" s="387">
        <v>0</v>
      </c>
      <c r="S302" s="387">
        <v>0</v>
      </c>
      <c r="T302" s="387">
        <v>0</v>
      </c>
      <c r="U302" s="387">
        <v>0</v>
      </c>
      <c r="V302" s="387">
        <v>0</v>
      </c>
      <c r="W302" s="387">
        <v>0</v>
      </c>
      <c r="X302" s="387">
        <v>0</v>
      </c>
      <c r="Y302" s="387">
        <v>0</v>
      </c>
      <c r="Z302" s="387">
        <v>0</v>
      </c>
      <c r="AA302" s="387">
        <v>0</v>
      </c>
      <c r="AB302" s="387">
        <v>0</v>
      </c>
      <c r="AC302" s="387">
        <v>0</v>
      </c>
      <c r="AD302" s="387">
        <v>0</v>
      </c>
      <c r="AE302" s="387">
        <v>0</v>
      </c>
      <c r="AF302" s="387">
        <v>0</v>
      </c>
      <c r="AG302" s="387">
        <v>0</v>
      </c>
      <c r="AH302" s="387">
        <v>0</v>
      </c>
      <c r="AI302" s="387">
        <v>0</v>
      </c>
      <c r="AJ302" s="387">
        <v>0</v>
      </c>
      <c r="AK302" s="387">
        <v>0</v>
      </c>
      <c r="AL302" s="387">
        <v>0</v>
      </c>
      <c r="AM302" s="387">
        <v>0</v>
      </c>
      <c r="AN302" s="387">
        <v>0</v>
      </c>
      <c r="AO302" s="387">
        <v>0</v>
      </c>
      <c r="AP302" s="387">
        <v>0</v>
      </c>
      <c r="AQ302" s="387">
        <v>0</v>
      </c>
      <c r="AR302" s="387">
        <v>0</v>
      </c>
      <c r="AS302" s="387">
        <v>0</v>
      </c>
      <c r="AT302" s="387">
        <v>0</v>
      </c>
      <c r="AU302" s="387">
        <v>0</v>
      </c>
      <c r="AV302" s="387">
        <v>0</v>
      </c>
      <c r="AW302" s="387">
        <v>0</v>
      </c>
      <c r="AX302" s="387">
        <v>0</v>
      </c>
      <c r="AY302" s="387">
        <v>0</v>
      </c>
      <c r="AZ302" s="387">
        <v>0</v>
      </c>
      <c r="BA302" s="387">
        <v>0</v>
      </c>
      <c r="BB302" s="387">
        <v>0</v>
      </c>
      <c r="BC302" s="387">
        <v>0</v>
      </c>
      <c r="BD302" s="387">
        <v>0</v>
      </c>
      <c r="BE302" s="387">
        <v>0</v>
      </c>
      <c r="BF302" s="387">
        <v>0</v>
      </c>
      <c r="BG302" s="387">
        <v>0</v>
      </c>
      <c r="BH302" s="387">
        <v>0</v>
      </c>
      <c r="BI302" s="387">
        <v>0</v>
      </c>
      <c r="BJ302" s="387">
        <v>0</v>
      </c>
      <c r="BK302" s="387">
        <v>0</v>
      </c>
      <c r="BL302" s="387">
        <v>0</v>
      </c>
      <c r="BM302" s="387">
        <v>0</v>
      </c>
      <c r="BN302" s="387">
        <v>0</v>
      </c>
      <c r="BO302" s="387">
        <v>0</v>
      </c>
      <c r="BP302" s="387">
        <v>0</v>
      </c>
      <c r="BQ302" s="387">
        <v>0</v>
      </c>
      <c r="BR302" s="387">
        <v>0</v>
      </c>
      <c r="BS302" s="387">
        <v>0</v>
      </c>
      <c r="BT302" s="387">
        <v>0</v>
      </c>
      <c r="BU302" s="387">
        <v>0</v>
      </c>
      <c r="BV302" s="387">
        <v>0</v>
      </c>
      <c r="BW302" s="387">
        <v>0</v>
      </c>
      <c r="BX302" s="387">
        <v>0</v>
      </c>
      <c r="BY302" s="387">
        <v>0</v>
      </c>
      <c r="BZ302" s="387">
        <v>0</v>
      </c>
      <c r="CA302" s="387">
        <v>0</v>
      </c>
      <c r="CB302" s="387">
        <v>0</v>
      </c>
      <c r="CC302" s="387">
        <v>0</v>
      </c>
      <c r="CD302" s="387">
        <v>0</v>
      </c>
      <c r="CE302" s="387">
        <v>0</v>
      </c>
      <c r="CF302" s="387">
        <v>0</v>
      </c>
      <c r="CG302" s="387">
        <v>0</v>
      </c>
      <c r="CH302" s="387">
        <v>0</v>
      </c>
      <c r="CI302" s="387">
        <v>0</v>
      </c>
      <c r="CJ302" s="387">
        <v>0</v>
      </c>
      <c r="CK302" s="387">
        <v>0</v>
      </c>
      <c r="CL302" s="387">
        <v>0</v>
      </c>
      <c r="CM302" s="387"/>
      <c r="CN302" s="387"/>
      <c r="CO302" s="387"/>
      <c r="CP302" s="387"/>
      <c r="CQ302" s="387"/>
      <c r="CR302" s="387"/>
      <c r="CS302" s="387"/>
      <c r="CT302" s="387"/>
      <c r="CU302" s="387"/>
      <c r="CV302" s="387"/>
      <c r="CW302" s="387"/>
      <c r="CX302" s="387"/>
      <c r="CY302" s="387"/>
      <c r="CZ302" s="387"/>
      <c r="DA302" s="387"/>
      <c r="DB302" s="387"/>
      <c r="DC302" s="387"/>
      <c r="DD302" s="387"/>
      <c r="DE302" s="387"/>
      <c r="DF302" s="387"/>
      <c r="DG302" s="387"/>
      <c r="DH302" s="387"/>
      <c r="DI302" s="387"/>
      <c r="DJ302" s="387"/>
      <c r="DK302" s="387"/>
      <c r="DL302" s="387"/>
      <c r="DM302" s="387"/>
      <c r="DN302" s="387"/>
      <c r="DO302" s="387"/>
      <c r="DP302" s="387"/>
      <c r="DQ302" s="387"/>
      <c r="DR302" s="387"/>
      <c r="DS302" s="387"/>
      <c r="DT302" s="387"/>
      <c r="DU302" s="387"/>
      <c r="DV302" s="387"/>
      <c r="DW302" s="545">
        <f t="shared" si="37"/>
        <v>0</v>
      </c>
      <c r="DX302" s="869"/>
      <c r="DY302" s="706"/>
      <c r="DZ302" s="872"/>
      <c r="EA302" s="874"/>
      <c r="EB302" s="860"/>
      <c r="EC302" s="860"/>
      <c r="ED302" s="860"/>
      <c r="EE302" s="860"/>
      <c r="EF302" s="862"/>
      <c r="EG302" s="1107"/>
      <c r="EI302" s="858"/>
      <c r="EJ302" s="877"/>
      <c r="ER302" s="497"/>
    </row>
    <row r="303" spans="1:148" s="278" customFormat="1" ht="24" outlineLevel="2" x14ac:dyDescent="0.2">
      <c r="A303" s="910" t="s">
        <v>557</v>
      </c>
      <c r="B303" s="885" t="s">
        <v>359</v>
      </c>
      <c r="C303" s="911"/>
      <c r="D303" s="888">
        <f>+IFERROR(VLOOKUP(B303,'Detalle Plan de Adquisiciones'!$G$53:$L$153,6,FALSE),0)</f>
        <v>0</v>
      </c>
      <c r="E303" s="889" t="s">
        <v>419</v>
      </c>
      <c r="F303" s="316" t="s">
        <v>410</v>
      </c>
      <c r="G303" s="383">
        <v>0</v>
      </c>
      <c r="H303" s="383">
        <v>0</v>
      </c>
      <c r="I303" s="383">
        <v>0</v>
      </c>
      <c r="J303" s="383">
        <v>0</v>
      </c>
      <c r="K303" s="383">
        <v>0</v>
      </c>
      <c r="L303" s="383">
        <v>0</v>
      </c>
      <c r="M303" s="383">
        <v>0</v>
      </c>
      <c r="N303" s="383">
        <v>0</v>
      </c>
      <c r="O303" s="383">
        <v>0</v>
      </c>
      <c r="P303" s="383">
        <v>0</v>
      </c>
      <c r="Q303" s="383">
        <v>0</v>
      </c>
      <c r="R303" s="383">
        <v>0</v>
      </c>
      <c r="S303" s="383">
        <v>0</v>
      </c>
      <c r="T303" s="383">
        <v>0</v>
      </c>
      <c r="U303" s="383">
        <v>0</v>
      </c>
      <c r="V303" s="383">
        <v>0</v>
      </c>
      <c r="W303" s="383">
        <v>0</v>
      </c>
      <c r="X303" s="383">
        <v>0</v>
      </c>
      <c r="Y303" s="383">
        <v>0</v>
      </c>
      <c r="Z303" s="383">
        <v>0</v>
      </c>
      <c r="AA303" s="383">
        <v>0</v>
      </c>
      <c r="AB303" s="383">
        <v>0</v>
      </c>
      <c r="AC303" s="383">
        <v>0</v>
      </c>
      <c r="AD303" s="383">
        <v>0</v>
      </c>
      <c r="AE303" s="383">
        <v>0</v>
      </c>
      <c r="AF303" s="383">
        <v>0</v>
      </c>
      <c r="AG303" s="383">
        <v>0</v>
      </c>
      <c r="AH303" s="383">
        <v>0</v>
      </c>
      <c r="AI303" s="383">
        <v>0</v>
      </c>
      <c r="AJ303" s="383">
        <v>0</v>
      </c>
      <c r="AK303" s="383">
        <v>0</v>
      </c>
      <c r="AL303" s="383">
        <v>0</v>
      </c>
      <c r="AM303" s="383">
        <v>0</v>
      </c>
      <c r="AN303" s="383">
        <v>0</v>
      </c>
      <c r="AO303" s="383">
        <v>0</v>
      </c>
      <c r="AP303" s="383">
        <v>0</v>
      </c>
      <c r="AQ303" s="383">
        <v>0</v>
      </c>
      <c r="AR303" s="383">
        <v>0</v>
      </c>
      <c r="AS303" s="383">
        <v>0</v>
      </c>
      <c r="AT303" s="383">
        <v>0</v>
      </c>
      <c r="AU303" s="383">
        <v>0</v>
      </c>
      <c r="AV303" s="383">
        <v>0</v>
      </c>
      <c r="AW303" s="383">
        <v>0</v>
      </c>
      <c r="AX303" s="383">
        <v>0</v>
      </c>
      <c r="AY303" s="383">
        <v>0</v>
      </c>
      <c r="AZ303" s="383">
        <v>0</v>
      </c>
      <c r="BA303" s="383">
        <v>0</v>
      </c>
      <c r="BB303" s="383">
        <v>0</v>
      </c>
      <c r="BC303" s="383">
        <v>0</v>
      </c>
      <c r="BD303" s="383">
        <v>0</v>
      </c>
      <c r="BE303" s="383">
        <v>0</v>
      </c>
      <c r="BF303" s="383">
        <v>0</v>
      </c>
      <c r="BG303" s="383">
        <v>0</v>
      </c>
      <c r="BH303" s="383">
        <v>0</v>
      </c>
      <c r="BI303" s="383">
        <v>0</v>
      </c>
      <c r="BJ303" s="383">
        <v>0</v>
      </c>
      <c r="BK303" s="383">
        <v>0</v>
      </c>
      <c r="BL303" s="383">
        <v>0</v>
      </c>
      <c r="BM303" s="383">
        <v>0</v>
      </c>
      <c r="BN303" s="383">
        <v>0</v>
      </c>
      <c r="BO303" s="383">
        <v>0</v>
      </c>
      <c r="BP303" s="383">
        <v>0</v>
      </c>
      <c r="BQ303" s="383">
        <v>0</v>
      </c>
      <c r="BR303" s="383">
        <v>0</v>
      </c>
      <c r="BS303" s="383">
        <v>0</v>
      </c>
      <c r="BT303" s="383">
        <v>0</v>
      </c>
      <c r="BU303" s="383">
        <v>0</v>
      </c>
      <c r="BV303" s="383">
        <v>0</v>
      </c>
      <c r="BW303" s="383">
        <v>0</v>
      </c>
      <c r="BX303" s="383">
        <v>0</v>
      </c>
      <c r="BY303" s="383">
        <v>0</v>
      </c>
      <c r="BZ303" s="383">
        <v>0</v>
      </c>
      <c r="CA303" s="383">
        <v>0</v>
      </c>
      <c r="CB303" s="383">
        <v>0</v>
      </c>
      <c r="CC303" s="383">
        <v>0</v>
      </c>
      <c r="CD303" s="383">
        <v>0</v>
      </c>
      <c r="CE303" s="383">
        <v>0</v>
      </c>
      <c r="CF303" s="383">
        <v>0</v>
      </c>
      <c r="CG303" s="383">
        <v>0</v>
      </c>
      <c r="CH303" s="383">
        <v>0</v>
      </c>
      <c r="CI303" s="383">
        <v>0</v>
      </c>
      <c r="CJ303" s="383">
        <v>0</v>
      </c>
      <c r="CK303" s="383">
        <v>0</v>
      </c>
      <c r="CL303" s="383">
        <v>0</v>
      </c>
      <c r="CM303" s="383"/>
      <c r="CN303" s="383"/>
      <c r="CO303" s="383"/>
      <c r="CP303" s="383"/>
      <c r="CQ303" s="383"/>
      <c r="CR303" s="383"/>
      <c r="CS303" s="383"/>
      <c r="CT303" s="383"/>
      <c r="CU303" s="383"/>
      <c r="CV303" s="383"/>
      <c r="CW303" s="383"/>
      <c r="CX303" s="383"/>
      <c r="CY303" s="383"/>
      <c r="CZ303" s="383"/>
      <c r="DA303" s="383"/>
      <c r="DB303" s="383"/>
      <c r="DC303" s="383"/>
      <c r="DD303" s="383"/>
      <c r="DE303" s="383"/>
      <c r="DF303" s="383"/>
      <c r="DG303" s="383"/>
      <c r="DH303" s="383"/>
      <c r="DI303" s="383"/>
      <c r="DJ303" s="383"/>
      <c r="DK303" s="383"/>
      <c r="DL303" s="383"/>
      <c r="DM303" s="383"/>
      <c r="DN303" s="383"/>
      <c r="DO303" s="383"/>
      <c r="DP303" s="383"/>
      <c r="DQ303" s="383"/>
      <c r="DR303" s="383"/>
      <c r="DS303" s="383"/>
      <c r="DT303" s="383"/>
      <c r="DU303" s="383"/>
      <c r="DV303" s="383"/>
      <c r="DW303" s="556">
        <f t="shared" si="37"/>
        <v>0</v>
      </c>
      <c r="DX303" s="858">
        <f>DW303+DW304+DW305</f>
        <v>0</v>
      </c>
      <c r="DY303" s="704">
        <f>+DX303*1000000</f>
        <v>0</v>
      </c>
      <c r="DZ303" s="870">
        <f>+DY303-D303</f>
        <v>0</v>
      </c>
      <c r="EA303" s="873" t="str">
        <f>VLOOKUP(POA!$B303,INTERPLAN,28,0)</f>
        <v>N/A</v>
      </c>
      <c r="EB303" s="859" t="e">
        <f>+EDATE(EA303,C304)</f>
        <v>#VALUE!</v>
      </c>
      <c r="EC303" s="859" t="e">
        <f>EB303+30</f>
        <v>#VALUE!</v>
      </c>
      <c r="ED303" s="859" t="e">
        <f>CONCATENATE(MONTH(EA303),"-",YEAR(EA303))</f>
        <v>#VALUE!</v>
      </c>
      <c r="EE303" s="859" t="e">
        <f>CONCATENATE(MONTH(EB303),"-",YEAR(EB303))</f>
        <v>#VALUE!</v>
      </c>
      <c r="EF303" s="861" t="e">
        <f>CONCATENATE(MONTH(EC303),"-",YEAR(EC303))</f>
        <v>#VALUE!</v>
      </c>
      <c r="EG303" s="1105" t="e">
        <f>+YEAR(EA303)</f>
        <v>#VALUE!</v>
      </c>
      <c r="EI303" s="858">
        <f>+DW303+DW304+DW305</f>
        <v>0</v>
      </c>
      <c r="EJ303" s="877">
        <f>+D303/1000000-EI303</f>
        <v>0</v>
      </c>
      <c r="ER303" s="497"/>
    </row>
    <row r="304" spans="1:148" s="278" customFormat="1" outlineLevel="2" x14ac:dyDescent="0.2">
      <c r="A304" s="883"/>
      <c r="B304" s="886"/>
      <c r="C304" s="903"/>
      <c r="D304" s="864"/>
      <c r="E304" s="867"/>
      <c r="F304" s="311" t="s">
        <v>210</v>
      </c>
      <c r="G304" s="363">
        <v>0</v>
      </c>
      <c r="H304" s="363">
        <v>0</v>
      </c>
      <c r="I304" s="363">
        <v>0</v>
      </c>
      <c r="J304" s="363">
        <v>0</v>
      </c>
      <c r="K304" s="363">
        <v>0</v>
      </c>
      <c r="L304" s="363">
        <v>0</v>
      </c>
      <c r="M304" s="363">
        <v>0</v>
      </c>
      <c r="N304" s="363">
        <v>0</v>
      </c>
      <c r="O304" s="363">
        <v>0</v>
      </c>
      <c r="P304" s="363">
        <v>0</v>
      </c>
      <c r="Q304" s="363">
        <v>0</v>
      </c>
      <c r="R304" s="363">
        <v>0</v>
      </c>
      <c r="S304" s="363">
        <v>0</v>
      </c>
      <c r="T304" s="363">
        <v>0</v>
      </c>
      <c r="U304" s="363">
        <v>0</v>
      </c>
      <c r="V304" s="363">
        <v>0</v>
      </c>
      <c r="W304" s="363">
        <v>0</v>
      </c>
      <c r="X304" s="363">
        <v>0</v>
      </c>
      <c r="Y304" s="363">
        <v>0</v>
      </c>
      <c r="Z304" s="363">
        <v>0</v>
      </c>
      <c r="AA304" s="363">
        <v>0</v>
      </c>
      <c r="AB304" s="363">
        <v>0</v>
      </c>
      <c r="AC304" s="363">
        <v>0</v>
      </c>
      <c r="AD304" s="363">
        <v>0</v>
      </c>
      <c r="AE304" s="363">
        <v>0</v>
      </c>
      <c r="AF304" s="363">
        <v>0</v>
      </c>
      <c r="AG304" s="363">
        <v>0</v>
      </c>
      <c r="AH304" s="363">
        <v>0</v>
      </c>
      <c r="AI304" s="363">
        <v>0</v>
      </c>
      <c r="AJ304" s="363">
        <v>0</v>
      </c>
      <c r="AK304" s="363">
        <v>0</v>
      </c>
      <c r="AL304" s="363">
        <v>0</v>
      </c>
      <c r="AM304" s="363">
        <v>0</v>
      </c>
      <c r="AN304" s="363">
        <v>0</v>
      </c>
      <c r="AO304" s="363">
        <v>0</v>
      </c>
      <c r="AP304" s="363">
        <v>0</v>
      </c>
      <c r="AQ304" s="363">
        <v>0</v>
      </c>
      <c r="AR304" s="363">
        <v>0</v>
      </c>
      <c r="AS304" s="363">
        <v>0</v>
      </c>
      <c r="AT304" s="363">
        <v>0</v>
      </c>
      <c r="AU304" s="363">
        <v>0</v>
      </c>
      <c r="AV304" s="363">
        <v>0</v>
      </c>
      <c r="AW304" s="363">
        <v>0</v>
      </c>
      <c r="AX304" s="363">
        <v>0</v>
      </c>
      <c r="AY304" s="363">
        <v>0</v>
      </c>
      <c r="AZ304" s="363">
        <v>0</v>
      </c>
      <c r="BA304" s="363">
        <v>0</v>
      </c>
      <c r="BB304" s="363">
        <v>0</v>
      </c>
      <c r="BC304" s="363">
        <v>0</v>
      </c>
      <c r="BD304" s="363">
        <v>0</v>
      </c>
      <c r="BE304" s="363">
        <v>0</v>
      </c>
      <c r="BF304" s="363">
        <v>0</v>
      </c>
      <c r="BG304" s="363">
        <v>0</v>
      </c>
      <c r="BH304" s="363">
        <v>0</v>
      </c>
      <c r="BI304" s="363">
        <v>0</v>
      </c>
      <c r="BJ304" s="363">
        <v>0</v>
      </c>
      <c r="BK304" s="363">
        <v>0</v>
      </c>
      <c r="BL304" s="363">
        <v>0</v>
      </c>
      <c r="BM304" s="363">
        <v>0</v>
      </c>
      <c r="BN304" s="363">
        <v>0</v>
      </c>
      <c r="BO304" s="363">
        <v>0</v>
      </c>
      <c r="BP304" s="363">
        <v>0</v>
      </c>
      <c r="BQ304" s="363">
        <v>0</v>
      </c>
      <c r="BR304" s="363">
        <v>0</v>
      </c>
      <c r="BS304" s="363">
        <v>0</v>
      </c>
      <c r="BT304" s="363">
        <v>0</v>
      </c>
      <c r="BU304" s="363">
        <v>0</v>
      </c>
      <c r="BV304" s="363">
        <v>0</v>
      </c>
      <c r="BW304" s="363">
        <v>0</v>
      </c>
      <c r="BX304" s="363">
        <v>0</v>
      </c>
      <c r="BY304" s="363">
        <v>0</v>
      </c>
      <c r="BZ304" s="363">
        <v>0</v>
      </c>
      <c r="CA304" s="363">
        <v>0</v>
      </c>
      <c r="CB304" s="363">
        <v>0</v>
      </c>
      <c r="CC304" s="363">
        <v>0</v>
      </c>
      <c r="CD304" s="363">
        <v>0</v>
      </c>
      <c r="CE304" s="363">
        <v>0</v>
      </c>
      <c r="CF304" s="363">
        <v>0</v>
      </c>
      <c r="CG304" s="363">
        <v>0</v>
      </c>
      <c r="CH304" s="363">
        <v>0</v>
      </c>
      <c r="CI304" s="363">
        <v>0</v>
      </c>
      <c r="CJ304" s="363">
        <v>0</v>
      </c>
      <c r="CK304" s="363">
        <v>0</v>
      </c>
      <c r="CL304" s="363">
        <v>0</v>
      </c>
      <c r="CM304" s="363"/>
      <c r="CN304" s="363"/>
      <c r="CO304" s="363"/>
      <c r="CP304" s="363"/>
      <c r="CQ304" s="363"/>
      <c r="CR304" s="363"/>
      <c r="CS304" s="363"/>
      <c r="CT304" s="363"/>
      <c r="CU304" s="363"/>
      <c r="CV304" s="363"/>
      <c r="CW304" s="363"/>
      <c r="CX304" s="363"/>
      <c r="CY304" s="363"/>
      <c r="CZ304" s="363"/>
      <c r="DA304" s="363"/>
      <c r="DB304" s="363"/>
      <c r="DC304" s="363"/>
      <c r="DD304" s="363"/>
      <c r="DE304" s="363"/>
      <c r="DF304" s="363"/>
      <c r="DG304" s="363"/>
      <c r="DH304" s="363"/>
      <c r="DI304" s="363"/>
      <c r="DJ304" s="363"/>
      <c r="DK304" s="363"/>
      <c r="DL304" s="363"/>
      <c r="DM304" s="363"/>
      <c r="DN304" s="363"/>
      <c r="DO304" s="363"/>
      <c r="DP304" s="363"/>
      <c r="DQ304" s="363"/>
      <c r="DR304" s="363"/>
      <c r="DS304" s="363"/>
      <c r="DT304" s="363"/>
      <c r="DU304" s="363"/>
      <c r="DV304" s="363"/>
      <c r="DW304" s="544">
        <f t="shared" si="37"/>
        <v>0</v>
      </c>
      <c r="DX304" s="858"/>
      <c r="DY304" s="705"/>
      <c r="DZ304" s="871"/>
      <c r="EA304" s="873"/>
      <c r="EB304" s="859"/>
      <c r="EC304" s="859"/>
      <c r="ED304" s="859"/>
      <c r="EE304" s="859"/>
      <c r="EF304" s="861"/>
      <c r="EG304" s="1106"/>
      <c r="EI304" s="858"/>
      <c r="EJ304" s="877"/>
      <c r="ER304" s="497"/>
    </row>
    <row r="305" spans="1:148" s="278" customFormat="1" ht="12.75" outlineLevel="2" thickBot="1" x14ac:dyDescent="0.25">
      <c r="A305" s="884"/>
      <c r="B305" s="887"/>
      <c r="C305" s="904"/>
      <c r="D305" s="865"/>
      <c r="E305" s="868"/>
      <c r="F305" s="315" t="s">
        <v>211</v>
      </c>
      <c r="G305" s="364">
        <v>0</v>
      </c>
      <c r="H305" s="364">
        <v>0</v>
      </c>
      <c r="I305" s="364">
        <v>0</v>
      </c>
      <c r="J305" s="364">
        <v>0</v>
      </c>
      <c r="K305" s="364">
        <v>0</v>
      </c>
      <c r="L305" s="364">
        <v>0</v>
      </c>
      <c r="M305" s="364">
        <v>0</v>
      </c>
      <c r="N305" s="364">
        <v>0</v>
      </c>
      <c r="O305" s="364">
        <v>0</v>
      </c>
      <c r="P305" s="364">
        <v>0</v>
      </c>
      <c r="Q305" s="364">
        <v>0</v>
      </c>
      <c r="R305" s="364">
        <v>0</v>
      </c>
      <c r="S305" s="364">
        <v>0</v>
      </c>
      <c r="T305" s="364">
        <v>0</v>
      </c>
      <c r="U305" s="364">
        <v>0</v>
      </c>
      <c r="V305" s="364">
        <v>0</v>
      </c>
      <c r="W305" s="364">
        <v>0</v>
      </c>
      <c r="X305" s="364">
        <v>0</v>
      </c>
      <c r="Y305" s="364">
        <v>0</v>
      </c>
      <c r="Z305" s="364">
        <v>0</v>
      </c>
      <c r="AA305" s="364">
        <v>0</v>
      </c>
      <c r="AB305" s="364">
        <v>0</v>
      </c>
      <c r="AC305" s="364">
        <v>0</v>
      </c>
      <c r="AD305" s="364">
        <v>0</v>
      </c>
      <c r="AE305" s="364">
        <v>0</v>
      </c>
      <c r="AF305" s="364">
        <v>0</v>
      </c>
      <c r="AG305" s="364">
        <v>0</v>
      </c>
      <c r="AH305" s="364">
        <v>0</v>
      </c>
      <c r="AI305" s="364">
        <v>0</v>
      </c>
      <c r="AJ305" s="364">
        <v>0</v>
      </c>
      <c r="AK305" s="364">
        <v>0</v>
      </c>
      <c r="AL305" s="364">
        <v>0</v>
      </c>
      <c r="AM305" s="364">
        <v>0</v>
      </c>
      <c r="AN305" s="364">
        <v>0</v>
      </c>
      <c r="AO305" s="364">
        <v>0</v>
      </c>
      <c r="AP305" s="364">
        <v>0</v>
      </c>
      <c r="AQ305" s="364">
        <v>0</v>
      </c>
      <c r="AR305" s="364">
        <v>0</v>
      </c>
      <c r="AS305" s="364">
        <v>0</v>
      </c>
      <c r="AT305" s="364">
        <v>0</v>
      </c>
      <c r="AU305" s="364">
        <v>0</v>
      </c>
      <c r="AV305" s="364">
        <v>0</v>
      </c>
      <c r="AW305" s="364">
        <v>0</v>
      </c>
      <c r="AX305" s="364">
        <v>0</v>
      </c>
      <c r="AY305" s="364">
        <v>0</v>
      </c>
      <c r="AZ305" s="364">
        <v>0</v>
      </c>
      <c r="BA305" s="364">
        <v>0</v>
      </c>
      <c r="BB305" s="364">
        <v>0</v>
      </c>
      <c r="BC305" s="364">
        <v>0</v>
      </c>
      <c r="BD305" s="364">
        <v>0</v>
      </c>
      <c r="BE305" s="364">
        <v>0</v>
      </c>
      <c r="BF305" s="364">
        <v>0</v>
      </c>
      <c r="BG305" s="364">
        <v>0</v>
      </c>
      <c r="BH305" s="364">
        <v>0</v>
      </c>
      <c r="BI305" s="364">
        <v>0</v>
      </c>
      <c r="BJ305" s="364">
        <v>0</v>
      </c>
      <c r="BK305" s="364">
        <v>0</v>
      </c>
      <c r="BL305" s="364">
        <v>0</v>
      </c>
      <c r="BM305" s="364">
        <v>0</v>
      </c>
      <c r="BN305" s="364">
        <v>0</v>
      </c>
      <c r="BO305" s="364">
        <v>0</v>
      </c>
      <c r="BP305" s="364">
        <v>0</v>
      </c>
      <c r="BQ305" s="364">
        <v>0</v>
      </c>
      <c r="BR305" s="364">
        <v>0</v>
      </c>
      <c r="BS305" s="364">
        <v>0</v>
      </c>
      <c r="BT305" s="364">
        <v>0</v>
      </c>
      <c r="BU305" s="364">
        <v>0</v>
      </c>
      <c r="BV305" s="364">
        <v>0</v>
      </c>
      <c r="BW305" s="364">
        <v>0</v>
      </c>
      <c r="BX305" s="364">
        <v>0</v>
      </c>
      <c r="BY305" s="364">
        <v>0</v>
      </c>
      <c r="BZ305" s="364">
        <v>0</v>
      </c>
      <c r="CA305" s="364">
        <v>0</v>
      </c>
      <c r="CB305" s="364">
        <v>0</v>
      </c>
      <c r="CC305" s="364">
        <v>0</v>
      </c>
      <c r="CD305" s="364">
        <v>0</v>
      </c>
      <c r="CE305" s="364">
        <v>0</v>
      </c>
      <c r="CF305" s="364">
        <v>0</v>
      </c>
      <c r="CG305" s="364">
        <v>0</v>
      </c>
      <c r="CH305" s="364">
        <v>0</v>
      </c>
      <c r="CI305" s="364">
        <v>0</v>
      </c>
      <c r="CJ305" s="364">
        <v>0</v>
      </c>
      <c r="CK305" s="364">
        <v>0</v>
      </c>
      <c r="CL305" s="364">
        <v>0</v>
      </c>
      <c r="CM305" s="364"/>
      <c r="CN305" s="364"/>
      <c r="CO305" s="364"/>
      <c r="CP305" s="364"/>
      <c r="CQ305" s="364"/>
      <c r="CR305" s="364"/>
      <c r="CS305" s="364"/>
      <c r="CT305" s="364"/>
      <c r="CU305" s="364"/>
      <c r="CV305" s="364"/>
      <c r="CW305" s="364"/>
      <c r="CX305" s="364"/>
      <c r="CY305" s="364"/>
      <c r="CZ305" s="364"/>
      <c r="DA305" s="364"/>
      <c r="DB305" s="364"/>
      <c r="DC305" s="364"/>
      <c r="DD305" s="364"/>
      <c r="DE305" s="364"/>
      <c r="DF305" s="364"/>
      <c r="DG305" s="364"/>
      <c r="DH305" s="364"/>
      <c r="DI305" s="364"/>
      <c r="DJ305" s="364"/>
      <c r="DK305" s="364"/>
      <c r="DL305" s="364"/>
      <c r="DM305" s="364"/>
      <c r="DN305" s="364"/>
      <c r="DO305" s="364"/>
      <c r="DP305" s="364"/>
      <c r="DQ305" s="364"/>
      <c r="DR305" s="364"/>
      <c r="DS305" s="364"/>
      <c r="DT305" s="364"/>
      <c r="DU305" s="364"/>
      <c r="DV305" s="364"/>
      <c r="DW305" s="649">
        <f t="shared" si="37"/>
        <v>0</v>
      </c>
      <c r="DX305" s="869"/>
      <c r="DY305" s="706"/>
      <c r="DZ305" s="872"/>
      <c r="EA305" s="874"/>
      <c r="EB305" s="860"/>
      <c r="EC305" s="860"/>
      <c r="ED305" s="860"/>
      <c r="EE305" s="860"/>
      <c r="EF305" s="862"/>
      <c r="EG305" s="1107"/>
      <c r="EI305" s="858"/>
      <c r="EJ305" s="877"/>
      <c r="ER305" s="497"/>
    </row>
    <row r="306" spans="1:148" s="278" customFormat="1" ht="24" outlineLevel="2" x14ac:dyDescent="0.2">
      <c r="A306" s="905" t="s">
        <v>557</v>
      </c>
      <c r="B306" s="897">
        <v>15</v>
      </c>
      <c r="C306" s="902"/>
      <c r="D306" s="863">
        <f>+IFERROR(VLOOKUP(B306,'Detalle Plan de Adquisiciones'!$G$53:$L$153,6,FALSE),0)</f>
        <v>8820206.1593047362</v>
      </c>
      <c r="E306" s="866" t="str">
        <f>+'Detalle Plan de Adquisiciones'!F123</f>
        <v>INTERVENTORÍA TÉCNICA, ADMINISTRATIVA, FINANCIERA Y AMBIENTAL AL CONTRATO CUYO OBJETO ES: CALLE 93 ENTRE CARRERA 2 Y AVENIDA CIRCUNVALAR (BARRIO MOCARÍ)</v>
      </c>
      <c r="F306" s="312" t="s">
        <v>410</v>
      </c>
      <c r="G306" s="354">
        <v>0</v>
      </c>
      <c r="H306" s="354">
        <v>0</v>
      </c>
      <c r="I306" s="354">
        <v>0</v>
      </c>
      <c r="J306" s="354">
        <v>0</v>
      </c>
      <c r="K306" s="354">
        <v>0</v>
      </c>
      <c r="L306" s="354">
        <v>0</v>
      </c>
      <c r="M306" s="354">
        <v>0</v>
      </c>
      <c r="N306" s="354">
        <v>0</v>
      </c>
      <c r="O306" s="354">
        <v>0</v>
      </c>
      <c r="P306" s="354">
        <v>0</v>
      </c>
      <c r="Q306" s="354">
        <v>0</v>
      </c>
      <c r="R306" s="354">
        <v>0</v>
      </c>
      <c r="S306" s="354">
        <v>0</v>
      </c>
      <c r="T306" s="354">
        <v>0</v>
      </c>
      <c r="U306" s="354">
        <v>0</v>
      </c>
      <c r="V306" s="354">
        <v>0</v>
      </c>
      <c r="W306" s="354">
        <v>0</v>
      </c>
      <c r="X306" s="354">
        <v>0</v>
      </c>
      <c r="Y306" s="354">
        <v>0</v>
      </c>
      <c r="Z306" s="354">
        <v>0</v>
      </c>
      <c r="AA306" s="354">
        <v>0</v>
      </c>
      <c r="AB306" s="354">
        <v>0</v>
      </c>
      <c r="AC306" s="354">
        <v>0</v>
      </c>
      <c r="AD306" s="354">
        <v>0</v>
      </c>
      <c r="AE306" s="354">
        <v>0</v>
      </c>
      <c r="AF306" s="354">
        <v>0</v>
      </c>
      <c r="AG306" s="354">
        <v>0</v>
      </c>
      <c r="AH306" s="354">
        <v>0</v>
      </c>
      <c r="AI306" s="354">
        <v>0</v>
      </c>
      <c r="AJ306" s="354">
        <v>0</v>
      </c>
      <c r="AK306" s="354">
        <v>0</v>
      </c>
      <c r="AL306" s="354">
        <v>0</v>
      </c>
      <c r="AM306" s="354">
        <v>0</v>
      </c>
      <c r="AN306" s="354">
        <v>0</v>
      </c>
      <c r="AO306" s="354">
        <v>0</v>
      </c>
      <c r="AP306" s="354">
        <v>0</v>
      </c>
      <c r="AQ306" s="354">
        <v>0</v>
      </c>
      <c r="AR306" s="354">
        <v>0</v>
      </c>
      <c r="AS306" s="354">
        <v>0</v>
      </c>
      <c r="AT306" s="354">
        <v>0</v>
      </c>
      <c r="AU306" s="354">
        <v>0</v>
      </c>
      <c r="AV306" s="354">
        <v>0</v>
      </c>
      <c r="AW306" s="354">
        <v>0</v>
      </c>
      <c r="AX306" s="354">
        <v>0</v>
      </c>
      <c r="AY306" s="354">
        <v>0</v>
      </c>
      <c r="AZ306" s="354">
        <v>0</v>
      </c>
      <c r="BA306" s="354">
        <v>0</v>
      </c>
      <c r="BB306" s="354">
        <v>0</v>
      </c>
      <c r="BC306" s="354">
        <v>0</v>
      </c>
      <c r="BD306" s="354">
        <v>0</v>
      </c>
      <c r="BE306" s="354">
        <v>0</v>
      </c>
      <c r="BF306" s="354">
        <v>0</v>
      </c>
      <c r="BG306" s="354">
        <v>0</v>
      </c>
      <c r="BH306" s="354">
        <v>0</v>
      </c>
      <c r="BI306" s="354">
        <v>0</v>
      </c>
      <c r="BJ306" s="354">
        <v>0</v>
      </c>
      <c r="BK306" s="354">
        <v>0</v>
      </c>
      <c r="BL306" s="354">
        <v>0</v>
      </c>
      <c r="BM306" s="354">
        <v>0</v>
      </c>
      <c r="BN306" s="354">
        <v>0</v>
      </c>
      <c r="BO306" s="354">
        <v>0</v>
      </c>
      <c r="BP306" s="354">
        <v>0</v>
      </c>
      <c r="BQ306" s="354">
        <v>0</v>
      </c>
      <c r="BR306" s="354">
        <v>0</v>
      </c>
      <c r="BS306" s="354">
        <v>0</v>
      </c>
      <c r="BT306" s="354">
        <v>0</v>
      </c>
      <c r="BU306" s="354">
        <v>0</v>
      </c>
      <c r="BV306" s="354">
        <v>0</v>
      </c>
      <c r="BW306" s="354">
        <v>0</v>
      </c>
      <c r="BX306" s="354">
        <v>0</v>
      </c>
      <c r="BY306" s="354">
        <v>0</v>
      </c>
      <c r="BZ306" s="354">
        <v>0</v>
      </c>
      <c r="CA306" s="354">
        <v>0</v>
      </c>
      <c r="CB306" s="354">
        <v>0</v>
      </c>
      <c r="CC306" s="354">
        <v>0</v>
      </c>
      <c r="CD306" s="354">
        <v>0</v>
      </c>
      <c r="CE306" s="354">
        <v>0</v>
      </c>
      <c r="CF306" s="354">
        <v>0</v>
      </c>
      <c r="CG306" s="354">
        <v>0</v>
      </c>
      <c r="CH306" s="354">
        <v>0</v>
      </c>
      <c r="CI306" s="354">
        <v>0</v>
      </c>
      <c r="CJ306" s="354">
        <v>0</v>
      </c>
      <c r="CK306" s="354">
        <v>0</v>
      </c>
      <c r="CL306" s="354">
        <v>0</v>
      </c>
      <c r="CM306" s="354"/>
      <c r="CN306" s="354"/>
      <c r="CO306" s="354"/>
      <c r="CP306" s="354"/>
      <c r="CQ306" s="354"/>
      <c r="CR306" s="354"/>
      <c r="CS306" s="354"/>
      <c r="CT306" s="354"/>
      <c r="CU306" s="354"/>
      <c r="CV306" s="354"/>
      <c r="CW306" s="354"/>
      <c r="CX306" s="354"/>
      <c r="CY306" s="354"/>
      <c r="CZ306" s="354"/>
      <c r="DA306" s="354"/>
      <c r="DB306" s="354"/>
      <c r="DC306" s="354"/>
      <c r="DD306" s="354"/>
      <c r="DE306" s="354"/>
      <c r="DF306" s="354"/>
      <c r="DG306" s="354"/>
      <c r="DH306" s="354"/>
      <c r="DI306" s="354"/>
      <c r="DJ306" s="354"/>
      <c r="DK306" s="354"/>
      <c r="DL306" s="354"/>
      <c r="DM306" s="354"/>
      <c r="DN306" s="354"/>
      <c r="DO306" s="354"/>
      <c r="DP306" s="354"/>
      <c r="DQ306" s="354"/>
      <c r="DR306" s="354"/>
      <c r="DS306" s="354"/>
      <c r="DT306" s="354"/>
      <c r="DU306" s="354"/>
      <c r="DV306" s="354"/>
      <c r="DW306" s="543">
        <f t="shared" si="37"/>
        <v>0</v>
      </c>
      <c r="DX306" s="858">
        <f>DW306+DW307+DW308</f>
        <v>8.8202061593047354</v>
      </c>
      <c r="DY306" s="704">
        <f>+DX306*1000000</f>
        <v>8820206.1593047362</v>
      </c>
      <c r="DZ306" s="870">
        <f>+DY306-D306</f>
        <v>0</v>
      </c>
      <c r="EA306" s="873" t="str">
        <f>VLOOKUP(POA!$B306,INTERPLAN,28,0)</f>
        <v>N/A</v>
      </c>
      <c r="EB306" s="859" t="e">
        <f>+EDATE(EA306,C307)</f>
        <v>#VALUE!</v>
      </c>
      <c r="EC306" s="859" t="e">
        <f>EB306+30</f>
        <v>#VALUE!</v>
      </c>
      <c r="ED306" s="859" t="e">
        <f>CONCATENATE(MONTH(EA306),"-",YEAR(EA306))</f>
        <v>#VALUE!</v>
      </c>
      <c r="EE306" s="859" t="e">
        <f>CONCATENATE(MONTH(EB306),"-",YEAR(EB306))</f>
        <v>#VALUE!</v>
      </c>
      <c r="EF306" s="861" t="e">
        <f>CONCATENATE(MONTH(EC306),"-",YEAR(EC306))</f>
        <v>#VALUE!</v>
      </c>
      <c r="EG306" s="1105" t="e">
        <f>+YEAR(EA306)</f>
        <v>#VALUE!</v>
      </c>
      <c r="EI306" s="858">
        <f>+DW306+DW307+DW308</f>
        <v>8.8202061593047354</v>
      </c>
      <c r="EJ306" s="877">
        <f>+D306/1000000-EI306</f>
        <v>0</v>
      </c>
      <c r="ER306" s="497"/>
    </row>
    <row r="307" spans="1:148" s="278" customFormat="1" outlineLevel="2" x14ac:dyDescent="0.2">
      <c r="A307" s="906"/>
      <c r="B307" s="886"/>
      <c r="C307" s="903"/>
      <c r="D307" s="864"/>
      <c r="E307" s="867"/>
      <c r="F307" s="311" t="s">
        <v>210</v>
      </c>
      <c r="G307" s="363">
        <v>0</v>
      </c>
      <c r="H307" s="363">
        <v>0</v>
      </c>
      <c r="I307" s="363">
        <v>0</v>
      </c>
      <c r="J307" s="363">
        <v>0</v>
      </c>
      <c r="K307" s="363">
        <v>0</v>
      </c>
      <c r="L307" s="363">
        <v>0</v>
      </c>
      <c r="M307" s="363">
        <v>0</v>
      </c>
      <c r="N307" s="363">
        <v>0</v>
      </c>
      <c r="O307" s="363">
        <v>0</v>
      </c>
      <c r="P307" s="363">
        <v>0</v>
      </c>
      <c r="Q307" s="363">
        <v>0</v>
      </c>
      <c r="R307" s="363">
        <v>0</v>
      </c>
      <c r="S307" s="363">
        <v>0</v>
      </c>
      <c r="T307" s="363">
        <v>0</v>
      </c>
      <c r="U307" s="363">
        <v>0</v>
      </c>
      <c r="V307" s="363">
        <v>0</v>
      </c>
      <c r="W307" s="363">
        <v>0</v>
      </c>
      <c r="X307" s="363">
        <v>0</v>
      </c>
      <c r="Y307" s="363">
        <v>0</v>
      </c>
      <c r="Z307" s="363">
        <v>0</v>
      </c>
      <c r="AA307" s="363">
        <v>0</v>
      </c>
      <c r="AB307" s="363">
        <v>0</v>
      </c>
      <c r="AC307" s="363">
        <v>0</v>
      </c>
      <c r="AD307" s="363">
        <v>0</v>
      </c>
      <c r="AE307" s="363">
        <v>0</v>
      </c>
      <c r="AF307" s="363">
        <v>0</v>
      </c>
      <c r="AG307" s="363">
        <v>0</v>
      </c>
      <c r="AH307" s="363">
        <v>0</v>
      </c>
      <c r="AI307" s="363">
        <v>0</v>
      </c>
      <c r="AJ307" s="363">
        <v>0</v>
      </c>
      <c r="AK307" s="363">
        <v>0</v>
      </c>
      <c r="AL307" s="363">
        <v>0</v>
      </c>
      <c r="AM307" s="363">
        <v>0</v>
      </c>
      <c r="AN307" s="363">
        <v>0</v>
      </c>
      <c r="AO307" s="363">
        <v>0</v>
      </c>
      <c r="AP307" s="363">
        <v>0</v>
      </c>
      <c r="AQ307" s="363">
        <v>0</v>
      </c>
      <c r="AR307" s="363">
        <v>0</v>
      </c>
      <c r="AS307" s="363">
        <v>0</v>
      </c>
      <c r="AT307" s="363">
        <v>0</v>
      </c>
      <c r="AU307" s="363">
        <v>0</v>
      </c>
      <c r="AV307" s="363">
        <v>0</v>
      </c>
      <c r="AW307" s="363">
        <v>0</v>
      </c>
      <c r="AX307" s="363">
        <v>0</v>
      </c>
      <c r="AY307" s="363">
        <v>0</v>
      </c>
      <c r="AZ307" s="363">
        <v>0</v>
      </c>
      <c r="BA307" s="363">
        <v>0</v>
      </c>
      <c r="BB307" s="363">
        <v>0</v>
      </c>
      <c r="BC307" s="363">
        <v>0</v>
      </c>
      <c r="BD307" s="363">
        <v>0</v>
      </c>
      <c r="BE307" s="363">
        <v>0</v>
      </c>
      <c r="BF307" s="363">
        <v>0</v>
      </c>
      <c r="BG307" s="363">
        <v>0</v>
      </c>
      <c r="BH307" s="363">
        <v>0</v>
      </c>
      <c r="BI307" s="363">
        <v>0</v>
      </c>
      <c r="BJ307" s="363">
        <v>0</v>
      </c>
      <c r="BK307" s="363">
        <v>0</v>
      </c>
      <c r="BL307" s="363">
        <v>0</v>
      </c>
      <c r="BM307" s="363">
        <v>0</v>
      </c>
      <c r="BN307" s="363">
        <v>0</v>
      </c>
      <c r="BO307" s="363">
        <v>0</v>
      </c>
      <c r="BP307" s="363">
        <v>0</v>
      </c>
      <c r="BQ307" s="363">
        <v>0</v>
      </c>
      <c r="BR307" s="363">
        <v>0</v>
      </c>
      <c r="BS307" s="363">
        <v>0</v>
      </c>
      <c r="BT307" s="363">
        <v>0</v>
      </c>
      <c r="BU307" s="363">
        <v>0</v>
      </c>
      <c r="BV307" s="363">
        <v>0</v>
      </c>
      <c r="BW307" s="363">
        <v>0</v>
      </c>
      <c r="BX307" s="363">
        <v>0</v>
      </c>
      <c r="BY307" s="363">
        <v>0</v>
      </c>
      <c r="BZ307" s="363">
        <v>0</v>
      </c>
      <c r="CA307" s="363">
        <v>0</v>
      </c>
      <c r="CB307" s="363">
        <v>0</v>
      </c>
      <c r="CC307" s="363">
        <v>0</v>
      </c>
      <c r="CD307" s="363">
        <v>0</v>
      </c>
      <c r="CE307" s="363">
        <v>0</v>
      </c>
      <c r="CF307" s="363">
        <v>0</v>
      </c>
      <c r="CG307" s="363">
        <v>0</v>
      </c>
      <c r="CH307" s="363">
        <v>0</v>
      </c>
      <c r="CI307" s="363">
        <v>0</v>
      </c>
      <c r="CJ307" s="363">
        <v>0</v>
      </c>
      <c r="CK307" s="363">
        <v>0</v>
      </c>
      <c r="CL307" s="363">
        <v>0</v>
      </c>
      <c r="CM307" s="363"/>
      <c r="CN307" s="363"/>
      <c r="CO307" s="363"/>
      <c r="CP307" s="363"/>
      <c r="CQ307" s="363"/>
      <c r="CR307" s="363"/>
      <c r="CS307" s="363"/>
      <c r="CT307" s="363"/>
      <c r="CU307" s="363"/>
      <c r="CV307" s="363"/>
      <c r="CW307" s="363"/>
      <c r="CX307" s="363"/>
      <c r="CY307" s="363"/>
      <c r="CZ307" s="363"/>
      <c r="DA307" s="363"/>
      <c r="DB307" s="363"/>
      <c r="DC307" s="363"/>
      <c r="DD307" s="363"/>
      <c r="DE307" s="363"/>
      <c r="DF307" s="363"/>
      <c r="DG307" s="363"/>
      <c r="DH307" s="363"/>
      <c r="DI307" s="363"/>
      <c r="DJ307" s="363"/>
      <c r="DK307" s="363"/>
      <c r="DL307" s="363"/>
      <c r="DM307" s="363"/>
      <c r="DN307" s="363"/>
      <c r="DO307" s="363"/>
      <c r="DP307" s="363"/>
      <c r="DQ307" s="363"/>
      <c r="DR307" s="363"/>
      <c r="DS307" s="363"/>
      <c r="DT307" s="363"/>
      <c r="DU307" s="363"/>
      <c r="DV307" s="363"/>
      <c r="DW307" s="544">
        <f t="shared" si="37"/>
        <v>0</v>
      </c>
      <c r="DX307" s="858"/>
      <c r="DY307" s="705"/>
      <c r="DZ307" s="871"/>
      <c r="EA307" s="873"/>
      <c r="EB307" s="859"/>
      <c r="EC307" s="859"/>
      <c r="ED307" s="859"/>
      <c r="EE307" s="859"/>
      <c r="EF307" s="861"/>
      <c r="EG307" s="1106"/>
      <c r="EI307" s="858"/>
      <c r="EJ307" s="877"/>
      <c r="ER307" s="497"/>
    </row>
    <row r="308" spans="1:148" s="278" customFormat="1" ht="12.75" outlineLevel="2" thickBot="1" x14ac:dyDescent="0.25">
      <c r="A308" s="907"/>
      <c r="B308" s="908"/>
      <c r="C308" s="909"/>
      <c r="D308" s="876"/>
      <c r="E308" s="875"/>
      <c r="F308" s="313" t="s">
        <v>211</v>
      </c>
      <c r="G308" s="387"/>
      <c r="H308" s="387">
        <v>8.8202061593047354</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v>
      </c>
      <c r="X308" s="387">
        <v>0</v>
      </c>
      <c r="Y308" s="387">
        <v>0</v>
      </c>
      <c r="Z308" s="387">
        <v>0</v>
      </c>
      <c r="AA308" s="387">
        <v>0</v>
      </c>
      <c r="AB308" s="387">
        <v>0</v>
      </c>
      <c r="AC308" s="387">
        <v>0</v>
      </c>
      <c r="AD308" s="387">
        <v>0</v>
      </c>
      <c r="AE308" s="387">
        <v>0</v>
      </c>
      <c r="AF308" s="387">
        <v>0</v>
      </c>
      <c r="AG308" s="387">
        <v>0</v>
      </c>
      <c r="AH308" s="387">
        <v>0</v>
      </c>
      <c r="AI308" s="387">
        <v>0</v>
      </c>
      <c r="AJ308" s="387">
        <v>0</v>
      </c>
      <c r="AK308" s="387">
        <v>0</v>
      </c>
      <c r="AL308" s="387">
        <v>0</v>
      </c>
      <c r="AM308" s="387">
        <v>0</v>
      </c>
      <c r="AN308" s="387">
        <v>0</v>
      </c>
      <c r="AO308" s="387">
        <v>0</v>
      </c>
      <c r="AP308" s="387">
        <v>0</v>
      </c>
      <c r="AQ308" s="387">
        <v>0</v>
      </c>
      <c r="AR308" s="387">
        <v>0</v>
      </c>
      <c r="AS308" s="387">
        <v>0</v>
      </c>
      <c r="AT308" s="387">
        <v>0</v>
      </c>
      <c r="AU308" s="387">
        <v>0</v>
      </c>
      <c r="AV308" s="387">
        <v>0</v>
      </c>
      <c r="AW308" s="387">
        <v>0</v>
      </c>
      <c r="AX308" s="387">
        <v>0</v>
      </c>
      <c r="AY308" s="387">
        <v>0</v>
      </c>
      <c r="AZ308" s="387">
        <v>0</v>
      </c>
      <c r="BA308" s="387">
        <v>0</v>
      </c>
      <c r="BB308" s="387">
        <v>0</v>
      </c>
      <c r="BC308" s="387">
        <v>0</v>
      </c>
      <c r="BD308" s="387">
        <v>0</v>
      </c>
      <c r="BE308" s="387">
        <v>0</v>
      </c>
      <c r="BF308" s="387">
        <v>0</v>
      </c>
      <c r="BG308" s="387">
        <v>0</v>
      </c>
      <c r="BH308" s="387">
        <v>0</v>
      </c>
      <c r="BI308" s="387">
        <v>0</v>
      </c>
      <c r="BJ308" s="387">
        <v>0</v>
      </c>
      <c r="BK308" s="387">
        <v>0</v>
      </c>
      <c r="BL308" s="387">
        <v>0</v>
      </c>
      <c r="BM308" s="387">
        <v>0</v>
      </c>
      <c r="BN308" s="387">
        <v>0</v>
      </c>
      <c r="BO308" s="387">
        <v>0</v>
      </c>
      <c r="BP308" s="387">
        <v>0</v>
      </c>
      <c r="BQ308" s="387">
        <v>0</v>
      </c>
      <c r="BR308" s="387">
        <v>0</v>
      </c>
      <c r="BS308" s="387">
        <v>0</v>
      </c>
      <c r="BT308" s="387">
        <v>0</v>
      </c>
      <c r="BU308" s="387">
        <v>0</v>
      </c>
      <c r="BV308" s="387">
        <v>0</v>
      </c>
      <c r="BW308" s="387">
        <v>0</v>
      </c>
      <c r="BX308" s="387">
        <v>0</v>
      </c>
      <c r="BY308" s="387">
        <v>0</v>
      </c>
      <c r="BZ308" s="387">
        <v>0</v>
      </c>
      <c r="CA308" s="387">
        <v>0</v>
      </c>
      <c r="CB308" s="387">
        <v>0</v>
      </c>
      <c r="CC308" s="387">
        <v>0</v>
      </c>
      <c r="CD308" s="387">
        <v>0</v>
      </c>
      <c r="CE308" s="387">
        <v>0</v>
      </c>
      <c r="CF308" s="387">
        <v>0</v>
      </c>
      <c r="CG308" s="387">
        <v>0</v>
      </c>
      <c r="CH308" s="387">
        <v>0</v>
      </c>
      <c r="CI308" s="387">
        <v>0</v>
      </c>
      <c r="CJ308" s="387">
        <v>0</v>
      </c>
      <c r="CK308" s="387">
        <v>0</v>
      </c>
      <c r="CL308" s="387">
        <v>0</v>
      </c>
      <c r="CM308" s="387"/>
      <c r="CN308" s="387"/>
      <c r="CO308" s="387"/>
      <c r="CP308" s="387"/>
      <c r="CQ308" s="387"/>
      <c r="CR308" s="387"/>
      <c r="CS308" s="387"/>
      <c r="CT308" s="387"/>
      <c r="CU308" s="387"/>
      <c r="CV308" s="387"/>
      <c r="CW308" s="387"/>
      <c r="CX308" s="387"/>
      <c r="CY308" s="387"/>
      <c r="CZ308" s="387"/>
      <c r="DA308" s="387"/>
      <c r="DB308" s="387"/>
      <c r="DC308" s="387"/>
      <c r="DD308" s="387"/>
      <c r="DE308" s="387"/>
      <c r="DF308" s="387"/>
      <c r="DG308" s="387"/>
      <c r="DH308" s="387"/>
      <c r="DI308" s="387"/>
      <c r="DJ308" s="387"/>
      <c r="DK308" s="387"/>
      <c r="DL308" s="387"/>
      <c r="DM308" s="387"/>
      <c r="DN308" s="387"/>
      <c r="DO308" s="387"/>
      <c r="DP308" s="387"/>
      <c r="DQ308" s="387"/>
      <c r="DR308" s="387"/>
      <c r="DS308" s="387"/>
      <c r="DT308" s="387"/>
      <c r="DU308" s="387"/>
      <c r="DV308" s="387"/>
      <c r="DW308" s="545">
        <f t="shared" si="37"/>
        <v>8.8202061593047354</v>
      </c>
      <c r="DX308" s="869"/>
      <c r="DY308" s="706"/>
      <c r="DZ308" s="872"/>
      <c r="EA308" s="874"/>
      <c r="EB308" s="860"/>
      <c r="EC308" s="860"/>
      <c r="ED308" s="860"/>
      <c r="EE308" s="860"/>
      <c r="EF308" s="862"/>
      <c r="EG308" s="1107"/>
      <c r="EI308" s="858"/>
      <c r="EJ308" s="877"/>
      <c r="ER308" s="497"/>
    </row>
    <row r="309" spans="1:148" s="278" customFormat="1" ht="24" outlineLevel="2" x14ac:dyDescent="0.2">
      <c r="A309" s="905" t="s">
        <v>557</v>
      </c>
      <c r="B309" s="897">
        <v>54</v>
      </c>
      <c r="C309" s="902"/>
      <c r="D309" s="863">
        <f>+IFERROR(VLOOKUP(B309,'Detalle Plan de Adquisiciones'!$G$53:$L$153,6,FALSE),0)</f>
        <v>1846089.6612498283</v>
      </c>
      <c r="E309" s="866" t="str">
        <f>+'Detalle Plan de Adquisiciones'!F124</f>
        <v>INTERVENTORÍA TÉCNICA, ADMINISTRATIVA, FINANCIERA Y AMBIENTAL AL CONTRATO CUYO OBJETO ES: CALLE DEL BARRIO 25 DE AGOSTO DESDE LA CALLE 41 HASTA LA CALLE 39</v>
      </c>
      <c r="F309" s="312" t="s">
        <v>410</v>
      </c>
      <c r="G309" s="354">
        <v>0</v>
      </c>
      <c r="H309" s="354">
        <v>0</v>
      </c>
      <c r="I309" s="354">
        <v>0</v>
      </c>
      <c r="J309" s="354">
        <v>0</v>
      </c>
      <c r="K309" s="354">
        <v>0</v>
      </c>
      <c r="L309" s="354">
        <v>0</v>
      </c>
      <c r="M309" s="354">
        <v>0</v>
      </c>
      <c r="N309" s="354">
        <v>0</v>
      </c>
      <c r="O309" s="354">
        <v>0</v>
      </c>
      <c r="P309" s="354">
        <v>0</v>
      </c>
      <c r="Q309" s="354">
        <v>0</v>
      </c>
      <c r="R309" s="354">
        <v>0</v>
      </c>
      <c r="S309" s="354">
        <v>0</v>
      </c>
      <c r="T309" s="354">
        <v>0</v>
      </c>
      <c r="U309" s="354">
        <v>0</v>
      </c>
      <c r="V309" s="354">
        <v>0</v>
      </c>
      <c r="W309" s="354">
        <v>0</v>
      </c>
      <c r="X309" s="354">
        <v>0</v>
      </c>
      <c r="Y309" s="354">
        <v>0</v>
      </c>
      <c r="Z309" s="354">
        <v>0</v>
      </c>
      <c r="AA309" s="354">
        <v>0</v>
      </c>
      <c r="AB309" s="354">
        <v>0</v>
      </c>
      <c r="AC309" s="354">
        <v>0</v>
      </c>
      <c r="AD309" s="354">
        <v>0</v>
      </c>
      <c r="AE309" s="354">
        <v>0</v>
      </c>
      <c r="AF309" s="354">
        <v>0</v>
      </c>
      <c r="AG309" s="354">
        <v>0</v>
      </c>
      <c r="AH309" s="354">
        <v>0</v>
      </c>
      <c r="AI309" s="354">
        <v>0</v>
      </c>
      <c r="AJ309" s="354">
        <v>0</v>
      </c>
      <c r="AK309" s="354">
        <v>0</v>
      </c>
      <c r="AL309" s="354">
        <v>0</v>
      </c>
      <c r="AM309" s="354">
        <v>0</v>
      </c>
      <c r="AN309" s="354">
        <v>0</v>
      </c>
      <c r="AO309" s="354">
        <v>0</v>
      </c>
      <c r="AP309" s="354">
        <v>0</v>
      </c>
      <c r="AQ309" s="354">
        <v>0</v>
      </c>
      <c r="AR309" s="354">
        <v>0</v>
      </c>
      <c r="AS309" s="354">
        <v>0</v>
      </c>
      <c r="AT309" s="354">
        <v>0</v>
      </c>
      <c r="AU309" s="354">
        <v>0</v>
      </c>
      <c r="AV309" s="354">
        <v>0</v>
      </c>
      <c r="AW309" s="354">
        <v>0</v>
      </c>
      <c r="AX309" s="354">
        <v>0</v>
      </c>
      <c r="AY309" s="354">
        <v>0</v>
      </c>
      <c r="AZ309" s="354">
        <v>0</v>
      </c>
      <c r="BA309" s="354">
        <v>0</v>
      </c>
      <c r="BB309" s="354">
        <v>0</v>
      </c>
      <c r="BC309" s="354">
        <v>0</v>
      </c>
      <c r="BD309" s="354">
        <v>0</v>
      </c>
      <c r="BE309" s="354">
        <v>0</v>
      </c>
      <c r="BF309" s="354">
        <v>0</v>
      </c>
      <c r="BG309" s="354">
        <v>0</v>
      </c>
      <c r="BH309" s="354">
        <v>0</v>
      </c>
      <c r="BI309" s="354">
        <v>0</v>
      </c>
      <c r="BJ309" s="354">
        <v>0</v>
      </c>
      <c r="BK309" s="354">
        <v>0</v>
      </c>
      <c r="BL309" s="354">
        <v>0</v>
      </c>
      <c r="BM309" s="354">
        <v>0</v>
      </c>
      <c r="BN309" s="354">
        <v>0</v>
      </c>
      <c r="BO309" s="354">
        <v>0</v>
      </c>
      <c r="BP309" s="354">
        <v>0</v>
      </c>
      <c r="BQ309" s="354">
        <v>0</v>
      </c>
      <c r="BR309" s="354">
        <v>0</v>
      </c>
      <c r="BS309" s="354">
        <v>0</v>
      </c>
      <c r="BT309" s="354">
        <v>0</v>
      </c>
      <c r="BU309" s="354">
        <v>0</v>
      </c>
      <c r="BV309" s="354">
        <v>0</v>
      </c>
      <c r="BW309" s="354">
        <v>0</v>
      </c>
      <c r="BX309" s="354">
        <v>0</v>
      </c>
      <c r="BY309" s="354">
        <v>0</v>
      </c>
      <c r="BZ309" s="354">
        <v>0</v>
      </c>
      <c r="CA309" s="354">
        <v>0</v>
      </c>
      <c r="CB309" s="354">
        <v>0</v>
      </c>
      <c r="CC309" s="354">
        <v>0</v>
      </c>
      <c r="CD309" s="354">
        <v>0</v>
      </c>
      <c r="CE309" s="354">
        <v>0</v>
      </c>
      <c r="CF309" s="354">
        <v>0</v>
      </c>
      <c r="CG309" s="354">
        <v>0</v>
      </c>
      <c r="CH309" s="354">
        <v>0</v>
      </c>
      <c r="CI309" s="354">
        <v>0</v>
      </c>
      <c r="CJ309" s="354">
        <v>0</v>
      </c>
      <c r="CK309" s="354">
        <v>0</v>
      </c>
      <c r="CL309" s="354">
        <v>0</v>
      </c>
      <c r="CM309" s="354"/>
      <c r="CN309" s="354"/>
      <c r="CO309" s="354"/>
      <c r="CP309" s="354"/>
      <c r="CQ309" s="354"/>
      <c r="CR309" s="354"/>
      <c r="CS309" s="354"/>
      <c r="CT309" s="354"/>
      <c r="CU309" s="354"/>
      <c r="CV309" s="354"/>
      <c r="CW309" s="354"/>
      <c r="CX309" s="354"/>
      <c r="CY309" s="354"/>
      <c r="CZ309" s="354"/>
      <c r="DA309" s="354"/>
      <c r="DB309" s="354"/>
      <c r="DC309" s="354"/>
      <c r="DD309" s="354"/>
      <c r="DE309" s="354"/>
      <c r="DF309" s="354"/>
      <c r="DG309" s="354"/>
      <c r="DH309" s="354"/>
      <c r="DI309" s="354"/>
      <c r="DJ309" s="354"/>
      <c r="DK309" s="354"/>
      <c r="DL309" s="354"/>
      <c r="DM309" s="354"/>
      <c r="DN309" s="354"/>
      <c r="DO309" s="354"/>
      <c r="DP309" s="354"/>
      <c r="DQ309" s="354"/>
      <c r="DR309" s="354"/>
      <c r="DS309" s="354"/>
      <c r="DT309" s="354"/>
      <c r="DU309" s="354"/>
      <c r="DV309" s="354"/>
      <c r="DW309" s="543">
        <f t="shared" si="37"/>
        <v>0</v>
      </c>
      <c r="DX309" s="869">
        <f>DW309+DW310+DW311</f>
        <v>1.8460896612498283</v>
      </c>
      <c r="DY309" s="704">
        <f>+DX309*1000000</f>
        <v>1846089.6612498283</v>
      </c>
      <c r="DZ309" s="870">
        <f>+DY309-D309</f>
        <v>0</v>
      </c>
      <c r="EA309" s="874" t="str">
        <f>VLOOKUP(POA!$B309,INTERPLAN,28,0)</f>
        <v>N/A</v>
      </c>
      <c r="EB309" s="860" t="e">
        <f>+EDATE(EA309,C310)</f>
        <v>#VALUE!</v>
      </c>
      <c r="EC309" s="860" t="e">
        <f>EB309+30</f>
        <v>#VALUE!</v>
      </c>
      <c r="ED309" s="860" t="e">
        <f>CONCATENATE(MONTH(EA309),"-",YEAR(EA309))</f>
        <v>#VALUE!</v>
      </c>
      <c r="EE309" s="860" t="e">
        <f>CONCATENATE(MONTH(EB309),"-",YEAR(EB309))</f>
        <v>#VALUE!</v>
      </c>
      <c r="EF309" s="862" t="e">
        <f>CONCATENATE(MONTH(EC309),"-",YEAR(EC309))</f>
        <v>#VALUE!</v>
      </c>
      <c r="EG309" s="1105" t="e">
        <f>+YEAR(EA309)</f>
        <v>#VALUE!</v>
      </c>
      <c r="EI309" s="858">
        <f>+DW309+DW310+DW311</f>
        <v>1.8460896612498283</v>
      </c>
      <c r="EJ309" s="877">
        <f>+D309/1000000-EI309</f>
        <v>0</v>
      </c>
      <c r="ER309" s="497"/>
    </row>
    <row r="310" spans="1:148" s="278" customFormat="1" outlineLevel="2" x14ac:dyDescent="0.2">
      <c r="A310" s="906"/>
      <c r="B310" s="886"/>
      <c r="C310" s="903"/>
      <c r="D310" s="864"/>
      <c r="E310" s="867"/>
      <c r="F310" s="311" t="s">
        <v>210</v>
      </c>
      <c r="G310" s="363"/>
      <c r="H310" s="363">
        <v>0</v>
      </c>
      <c r="I310" s="363">
        <v>0</v>
      </c>
      <c r="J310" s="363">
        <v>0</v>
      </c>
      <c r="K310" s="363">
        <v>0</v>
      </c>
      <c r="L310" s="363">
        <v>0</v>
      </c>
      <c r="M310" s="363">
        <v>0</v>
      </c>
      <c r="N310" s="363">
        <v>0</v>
      </c>
      <c r="O310" s="363">
        <v>0</v>
      </c>
      <c r="P310" s="363">
        <v>0</v>
      </c>
      <c r="Q310" s="363">
        <v>0</v>
      </c>
      <c r="R310" s="363">
        <v>0</v>
      </c>
      <c r="S310" s="363">
        <v>0</v>
      </c>
      <c r="T310" s="363">
        <v>0</v>
      </c>
      <c r="U310" s="363">
        <v>0</v>
      </c>
      <c r="V310" s="363">
        <v>0</v>
      </c>
      <c r="W310" s="363">
        <v>0</v>
      </c>
      <c r="X310" s="363">
        <v>0</v>
      </c>
      <c r="Y310" s="363">
        <v>0</v>
      </c>
      <c r="Z310" s="363">
        <v>0</v>
      </c>
      <c r="AA310" s="363">
        <v>0</v>
      </c>
      <c r="AB310" s="363">
        <v>0</v>
      </c>
      <c r="AC310" s="363">
        <v>0</v>
      </c>
      <c r="AD310" s="363">
        <v>0</v>
      </c>
      <c r="AE310" s="363">
        <v>0</v>
      </c>
      <c r="AF310" s="363">
        <v>0</v>
      </c>
      <c r="AG310" s="363">
        <v>0</v>
      </c>
      <c r="AH310" s="363">
        <v>0</v>
      </c>
      <c r="AI310" s="363">
        <v>0</v>
      </c>
      <c r="AJ310" s="363">
        <v>0</v>
      </c>
      <c r="AK310" s="363">
        <v>0</v>
      </c>
      <c r="AL310" s="363">
        <v>0</v>
      </c>
      <c r="AM310" s="363">
        <v>0</v>
      </c>
      <c r="AN310" s="363">
        <v>0</v>
      </c>
      <c r="AO310" s="363">
        <v>0</v>
      </c>
      <c r="AP310" s="363">
        <v>0</v>
      </c>
      <c r="AQ310" s="363">
        <v>0</v>
      </c>
      <c r="AR310" s="363">
        <v>0</v>
      </c>
      <c r="AS310" s="363">
        <v>0</v>
      </c>
      <c r="AT310" s="363">
        <v>0</v>
      </c>
      <c r="AU310" s="363">
        <v>0</v>
      </c>
      <c r="AV310" s="363">
        <v>0</v>
      </c>
      <c r="AW310" s="363">
        <v>0</v>
      </c>
      <c r="AX310" s="363">
        <v>0</v>
      </c>
      <c r="AY310" s="363">
        <v>0</v>
      </c>
      <c r="AZ310" s="363">
        <v>0</v>
      </c>
      <c r="BA310" s="363">
        <v>0</v>
      </c>
      <c r="BB310" s="363">
        <v>0</v>
      </c>
      <c r="BC310" s="363">
        <v>0</v>
      </c>
      <c r="BD310" s="363">
        <v>0</v>
      </c>
      <c r="BE310" s="363">
        <v>0</v>
      </c>
      <c r="BF310" s="363">
        <v>0</v>
      </c>
      <c r="BG310" s="363">
        <v>0</v>
      </c>
      <c r="BH310" s="363">
        <v>0</v>
      </c>
      <c r="BI310" s="363">
        <v>0</v>
      </c>
      <c r="BJ310" s="363">
        <v>0</v>
      </c>
      <c r="BK310" s="363">
        <v>0</v>
      </c>
      <c r="BL310" s="363">
        <v>0</v>
      </c>
      <c r="BM310" s="363">
        <v>0</v>
      </c>
      <c r="BN310" s="363">
        <v>0</v>
      </c>
      <c r="BO310" s="363">
        <v>0</v>
      </c>
      <c r="BP310" s="363">
        <v>0</v>
      </c>
      <c r="BQ310" s="363">
        <v>0</v>
      </c>
      <c r="BR310" s="363">
        <v>0</v>
      </c>
      <c r="BS310" s="363">
        <v>0</v>
      </c>
      <c r="BT310" s="363">
        <v>0</v>
      </c>
      <c r="BU310" s="363">
        <v>0</v>
      </c>
      <c r="BV310" s="363">
        <v>0</v>
      </c>
      <c r="BW310" s="363">
        <v>0</v>
      </c>
      <c r="BX310" s="363">
        <v>0</v>
      </c>
      <c r="BY310" s="363">
        <v>0</v>
      </c>
      <c r="BZ310" s="363">
        <v>0</v>
      </c>
      <c r="CA310" s="363">
        <v>0</v>
      </c>
      <c r="CB310" s="363">
        <v>0</v>
      </c>
      <c r="CC310" s="363">
        <v>0</v>
      </c>
      <c r="CD310" s="363">
        <v>0</v>
      </c>
      <c r="CE310" s="363">
        <v>0</v>
      </c>
      <c r="CF310" s="363">
        <v>0</v>
      </c>
      <c r="CG310" s="363">
        <v>0</v>
      </c>
      <c r="CH310" s="363">
        <v>0</v>
      </c>
      <c r="CI310" s="363">
        <v>0</v>
      </c>
      <c r="CJ310" s="363">
        <v>0</v>
      </c>
      <c r="CK310" s="363">
        <v>0</v>
      </c>
      <c r="CL310" s="363">
        <v>0</v>
      </c>
      <c r="CM310" s="363"/>
      <c r="CN310" s="363"/>
      <c r="CO310" s="363"/>
      <c r="CP310" s="363"/>
      <c r="CQ310" s="363"/>
      <c r="CR310" s="363"/>
      <c r="CS310" s="363"/>
      <c r="CT310" s="363"/>
      <c r="CU310" s="363"/>
      <c r="CV310" s="363"/>
      <c r="CW310" s="363"/>
      <c r="CX310" s="363"/>
      <c r="CY310" s="363"/>
      <c r="CZ310" s="363"/>
      <c r="DA310" s="363"/>
      <c r="DB310" s="363"/>
      <c r="DC310" s="363"/>
      <c r="DD310" s="363"/>
      <c r="DE310" s="363"/>
      <c r="DF310" s="363"/>
      <c r="DG310" s="363"/>
      <c r="DH310" s="363"/>
      <c r="DI310" s="363"/>
      <c r="DJ310" s="363"/>
      <c r="DK310" s="363"/>
      <c r="DL310" s="363"/>
      <c r="DM310" s="363"/>
      <c r="DN310" s="363"/>
      <c r="DO310" s="363"/>
      <c r="DP310" s="363"/>
      <c r="DQ310" s="363"/>
      <c r="DR310" s="363"/>
      <c r="DS310" s="363"/>
      <c r="DT310" s="363"/>
      <c r="DU310" s="363"/>
      <c r="DV310" s="363"/>
      <c r="DW310" s="544">
        <f t="shared" si="37"/>
        <v>0</v>
      </c>
      <c r="DX310" s="890"/>
      <c r="DY310" s="705"/>
      <c r="DZ310" s="871"/>
      <c r="EA310" s="895"/>
      <c r="EB310" s="878"/>
      <c r="EC310" s="878"/>
      <c r="ED310" s="878"/>
      <c r="EE310" s="878"/>
      <c r="EF310" s="880"/>
      <c r="EG310" s="1106"/>
      <c r="EI310" s="858"/>
      <c r="EJ310" s="877"/>
      <c r="ER310" s="497"/>
    </row>
    <row r="311" spans="1:148" s="278" customFormat="1" ht="12.75" outlineLevel="2" thickBot="1" x14ac:dyDescent="0.25">
      <c r="A311" s="907"/>
      <c r="B311" s="908"/>
      <c r="C311" s="909"/>
      <c r="D311" s="876"/>
      <c r="E311" s="875"/>
      <c r="F311" s="313" t="s">
        <v>211</v>
      </c>
      <c r="G311" s="387"/>
      <c r="H311" s="387">
        <v>1.8460896612498283</v>
      </c>
      <c r="I311" s="387">
        <v>0</v>
      </c>
      <c r="J311" s="387">
        <v>0</v>
      </c>
      <c r="K311" s="387">
        <v>0</v>
      </c>
      <c r="L311" s="387">
        <v>0</v>
      </c>
      <c r="M311" s="387">
        <v>0</v>
      </c>
      <c r="N311" s="387">
        <v>0</v>
      </c>
      <c r="O311" s="387">
        <v>0</v>
      </c>
      <c r="P311" s="387">
        <v>0</v>
      </c>
      <c r="Q311" s="387">
        <v>0</v>
      </c>
      <c r="R311" s="387">
        <v>0</v>
      </c>
      <c r="S311" s="387">
        <v>0</v>
      </c>
      <c r="T311" s="387">
        <v>0</v>
      </c>
      <c r="U311" s="387">
        <v>0</v>
      </c>
      <c r="V311" s="387">
        <v>0</v>
      </c>
      <c r="W311" s="387">
        <v>0</v>
      </c>
      <c r="X311" s="387">
        <v>0</v>
      </c>
      <c r="Y311" s="387">
        <v>0</v>
      </c>
      <c r="Z311" s="387">
        <v>0</v>
      </c>
      <c r="AA311" s="387">
        <v>0</v>
      </c>
      <c r="AB311" s="387">
        <v>0</v>
      </c>
      <c r="AC311" s="387">
        <v>0</v>
      </c>
      <c r="AD311" s="387">
        <v>0</v>
      </c>
      <c r="AE311" s="387">
        <v>0</v>
      </c>
      <c r="AF311" s="387">
        <v>0</v>
      </c>
      <c r="AG311" s="387">
        <v>0</v>
      </c>
      <c r="AH311" s="387">
        <v>0</v>
      </c>
      <c r="AI311" s="387">
        <v>0</v>
      </c>
      <c r="AJ311" s="387">
        <v>0</v>
      </c>
      <c r="AK311" s="387">
        <v>0</v>
      </c>
      <c r="AL311" s="387">
        <v>0</v>
      </c>
      <c r="AM311" s="387">
        <v>0</v>
      </c>
      <c r="AN311" s="387">
        <v>0</v>
      </c>
      <c r="AO311" s="387">
        <v>0</v>
      </c>
      <c r="AP311" s="387">
        <v>0</v>
      </c>
      <c r="AQ311" s="387">
        <v>0</v>
      </c>
      <c r="AR311" s="387">
        <v>0</v>
      </c>
      <c r="AS311" s="387">
        <v>0</v>
      </c>
      <c r="AT311" s="387">
        <v>0</v>
      </c>
      <c r="AU311" s="387">
        <v>0</v>
      </c>
      <c r="AV311" s="387">
        <v>0</v>
      </c>
      <c r="AW311" s="387">
        <v>0</v>
      </c>
      <c r="AX311" s="387">
        <v>0</v>
      </c>
      <c r="AY311" s="387">
        <v>0</v>
      </c>
      <c r="AZ311" s="387">
        <v>0</v>
      </c>
      <c r="BA311" s="387">
        <v>0</v>
      </c>
      <c r="BB311" s="387">
        <v>0</v>
      </c>
      <c r="BC311" s="387">
        <v>0</v>
      </c>
      <c r="BD311" s="387">
        <v>0</v>
      </c>
      <c r="BE311" s="387">
        <v>0</v>
      </c>
      <c r="BF311" s="387">
        <v>0</v>
      </c>
      <c r="BG311" s="387">
        <v>0</v>
      </c>
      <c r="BH311" s="387">
        <v>0</v>
      </c>
      <c r="BI311" s="387">
        <v>0</v>
      </c>
      <c r="BJ311" s="387">
        <v>0</v>
      </c>
      <c r="BK311" s="387">
        <v>0</v>
      </c>
      <c r="BL311" s="387">
        <v>0</v>
      </c>
      <c r="BM311" s="387">
        <v>0</v>
      </c>
      <c r="BN311" s="387">
        <v>0</v>
      </c>
      <c r="BO311" s="387">
        <v>0</v>
      </c>
      <c r="BP311" s="387">
        <v>0</v>
      </c>
      <c r="BQ311" s="387">
        <v>0</v>
      </c>
      <c r="BR311" s="387">
        <v>0</v>
      </c>
      <c r="BS311" s="387">
        <v>0</v>
      </c>
      <c r="BT311" s="387">
        <v>0</v>
      </c>
      <c r="BU311" s="387">
        <v>0</v>
      </c>
      <c r="BV311" s="387">
        <v>0</v>
      </c>
      <c r="BW311" s="387">
        <v>0</v>
      </c>
      <c r="BX311" s="387">
        <v>0</v>
      </c>
      <c r="BY311" s="387">
        <v>0</v>
      </c>
      <c r="BZ311" s="387">
        <v>0</v>
      </c>
      <c r="CA311" s="387">
        <v>0</v>
      </c>
      <c r="CB311" s="387">
        <v>0</v>
      </c>
      <c r="CC311" s="387">
        <v>0</v>
      </c>
      <c r="CD311" s="387">
        <v>0</v>
      </c>
      <c r="CE311" s="387">
        <v>0</v>
      </c>
      <c r="CF311" s="387">
        <v>0</v>
      </c>
      <c r="CG311" s="387">
        <v>0</v>
      </c>
      <c r="CH311" s="387">
        <v>0</v>
      </c>
      <c r="CI311" s="387">
        <v>0</v>
      </c>
      <c r="CJ311" s="387">
        <v>0</v>
      </c>
      <c r="CK311" s="387">
        <v>0</v>
      </c>
      <c r="CL311" s="387">
        <v>0</v>
      </c>
      <c r="CM311" s="387"/>
      <c r="CN311" s="387"/>
      <c r="CO311" s="387"/>
      <c r="CP311" s="387"/>
      <c r="CQ311" s="387"/>
      <c r="CR311" s="387"/>
      <c r="CS311" s="387"/>
      <c r="CT311" s="387"/>
      <c r="CU311" s="387"/>
      <c r="CV311" s="387"/>
      <c r="CW311" s="387"/>
      <c r="CX311" s="387"/>
      <c r="CY311" s="387"/>
      <c r="CZ311" s="387"/>
      <c r="DA311" s="387"/>
      <c r="DB311" s="387"/>
      <c r="DC311" s="387"/>
      <c r="DD311" s="387"/>
      <c r="DE311" s="387"/>
      <c r="DF311" s="387"/>
      <c r="DG311" s="387"/>
      <c r="DH311" s="387"/>
      <c r="DI311" s="387"/>
      <c r="DJ311" s="387"/>
      <c r="DK311" s="387"/>
      <c r="DL311" s="387"/>
      <c r="DM311" s="387"/>
      <c r="DN311" s="387"/>
      <c r="DO311" s="387"/>
      <c r="DP311" s="387"/>
      <c r="DQ311" s="387"/>
      <c r="DR311" s="387"/>
      <c r="DS311" s="387"/>
      <c r="DT311" s="387"/>
      <c r="DU311" s="387"/>
      <c r="DV311" s="387"/>
      <c r="DW311" s="545">
        <f t="shared" si="37"/>
        <v>1.8460896612498283</v>
      </c>
      <c r="DX311" s="891"/>
      <c r="DY311" s="706"/>
      <c r="DZ311" s="872"/>
      <c r="EA311" s="896"/>
      <c r="EB311" s="879"/>
      <c r="EC311" s="879"/>
      <c r="ED311" s="879"/>
      <c r="EE311" s="879"/>
      <c r="EF311" s="881"/>
      <c r="EG311" s="1107"/>
      <c r="EI311" s="858"/>
      <c r="EJ311" s="877"/>
      <c r="ER311" s="497"/>
    </row>
    <row r="312" spans="1:148" s="278" customFormat="1" ht="24" outlineLevel="2" x14ac:dyDescent="0.2">
      <c r="A312" s="905" t="s">
        <v>557</v>
      </c>
      <c r="B312" s="897">
        <v>120</v>
      </c>
      <c r="C312" s="902"/>
      <c r="D312" s="863">
        <f>+IFERROR(VLOOKUP(B312,'Detalle Plan de Adquisiciones'!$G$53:$L$153,6,FALSE),0)</f>
        <v>133074613.85999998</v>
      </c>
      <c r="E312" s="866" t="str">
        <f>+'Detalle Plan de Adquisiciones'!F125</f>
        <v>INTERVENTORÍA TÉCNICA, ADMINISTRATIVA, FINANCIERA Y AMBIENTAL AL CONTRATO CUYO OBJETO ES: DIAGONAL 8 F ENTRE LA DIAGONAL 4 Y CALLE 6B SUR (BARRIO ALFONSO LÓPEZ)</v>
      </c>
      <c r="F312" s="312" t="s">
        <v>410</v>
      </c>
      <c r="G312" s="354">
        <v>0</v>
      </c>
      <c r="H312" s="354">
        <v>0</v>
      </c>
      <c r="I312" s="354">
        <v>0</v>
      </c>
      <c r="J312" s="354">
        <v>0</v>
      </c>
      <c r="K312" s="354">
        <v>0</v>
      </c>
      <c r="L312" s="354">
        <v>0</v>
      </c>
      <c r="M312" s="354">
        <v>0</v>
      </c>
      <c r="N312" s="354">
        <v>0</v>
      </c>
      <c r="O312" s="354">
        <v>0</v>
      </c>
      <c r="P312" s="354">
        <v>0</v>
      </c>
      <c r="Q312" s="354">
        <v>0</v>
      </c>
      <c r="R312" s="354">
        <v>0</v>
      </c>
      <c r="S312" s="354">
        <v>0</v>
      </c>
      <c r="T312" s="354">
        <v>0</v>
      </c>
      <c r="U312" s="354">
        <v>0</v>
      </c>
      <c r="V312" s="354">
        <v>0</v>
      </c>
      <c r="W312" s="354">
        <v>0</v>
      </c>
      <c r="X312" s="354">
        <v>0</v>
      </c>
      <c r="Y312" s="354">
        <v>0</v>
      </c>
      <c r="Z312" s="354">
        <v>0</v>
      </c>
      <c r="AA312" s="354">
        <v>0</v>
      </c>
      <c r="AB312" s="354">
        <v>0</v>
      </c>
      <c r="AC312" s="354">
        <v>0</v>
      </c>
      <c r="AD312" s="354">
        <v>0</v>
      </c>
      <c r="AE312" s="354">
        <v>0</v>
      </c>
      <c r="AF312" s="354">
        <v>0</v>
      </c>
      <c r="AG312" s="354">
        <v>0</v>
      </c>
      <c r="AH312" s="354">
        <v>0</v>
      </c>
      <c r="AI312" s="354">
        <v>0</v>
      </c>
      <c r="AJ312" s="354">
        <v>0</v>
      </c>
      <c r="AK312" s="354">
        <v>0</v>
      </c>
      <c r="AL312" s="354">
        <v>0</v>
      </c>
      <c r="AM312" s="354">
        <v>0</v>
      </c>
      <c r="AN312" s="354">
        <v>0</v>
      </c>
      <c r="AO312" s="354">
        <v>0</v>
      </c>
      <c r="AP312" s="354">
        <v>0</v>
      </c>
      <c r="AQ312" s="354">
        <v>0</v>
      </c>
      <c r="AR312" s="354">
        <v>0</v>
      </c>
      <c r="AS312" s="354">
        <v>0</v>
      </c>
      <c r="AT312" s="354">
        <v>0</v>
      </c>
      <c r="AU312" s="354">
        <v>0</v>
      </c>
      <c r="AV312" s="354">
        <v>0</v>
      </c>
      <c r="AW312" s="354">
        <v>0</v>
      </c>
      <c r="AX312" s="354">
        <v>0</v>
      </c>
      <c r="AY312" s="354">
        <v>0</v>
      </c>
      <c r="AZ312" s="354">
        <v>0</v>
      </c>
      <c r="BA312" s="354">
        <v>0</v>
      </c>
      <c r="BB312" s="354">
        <v>0</v>
      </c>
      <c r="BC312" s="354">
        <v>0</v>
      </c>
      <c r="BD312" s="354">
        <v>0</v>
      </c>
      <c r="BE312" s="354">
        <v>0</v>
      </c>
      <c r="BF312" s="354">
        <v>0</v>
      </c>
      <c r="BG312" s="354">
        <v>0</v>
      </c>
      <c r="BH312" s="354">
        <v>0</v>
      </c>
      <c r="BI312" s="354">
        <v>0</v>
      </c>
      <c r="BJ312" s="354">
        <v>0</v>
      </c>
      <c r="BK312" s="354">
        <v>0</v>
      </c>
      <c r="BL312" s="354">
        <v>0</v>
      </c>
      <c r="BM312" s="354">
        <v>0</v>
      </c>
      <c r="BN312" s="354">
        <v>0</v>
      </c>
      <c r="BO312" s="354">
        <v>0</v>
      </c>
      <c r="BP312" s="354">
        <v>0</v>
      </c>
      <c r="BQ312" s="354">
        <v>0</v>
      </c>
      <c r="BR312" s="354">
        <v>0</v>
      </c>
      <c r="BS312" s="354">
        <v>0</v>
      </c>
      <c r="BT312" s="354">
        <v>0</v>
      </c>
      <c r="BU312" s="354">
        <v>0</v>
      </c>
      <c r="BV312" s="354">
        <v>0</v>
      </c>
      <c r="BW312" s="354">
        <v>0</v>
      </c>
      <c r="BX312" s="354">
        <v>0</v>
      </c>
      <c r="BY312" s="354">
        <v>0</v>
      </c>
      <c r="BZ312" s="354">
        <v>0</v>
      </c>
      <c r="CA312" s="354">
        <v>0</v>
      </c>
      <c r="CB312" s="354">
        <v>0</v>
      </c>
      <c r="CC312" s="354">
        <v>0</v>
      </c>
      <c r="CD312" s="354">
        <v>0</v>
      </c>
      <c r="CE312" s="354">
        <v>0</v>
      </c>
      <c r="CF312" s="354">
        <v>0</v>
      </c>
      <c r="CG312" s="354">
        <v>0</v>
      </c>
      <c r="CH312" s="354">
        <v>0</v>
      </c>
      <c r="CI312" s="354">
        <v>0</v>
      </c>
      <c r="CJ312" s="354">
        <v>0</v>
      </c>
      <c r="CK312" s="354">
        <v>0</v>
      </c>
      <c r="CL312" s="354">
        <v>0</v>
      </c>
      <c r="CM312" s="354"/>
      <c r="CN312" s="354"/>
      <c r="CO312" s="354"/>
      <c r="CP312" s="354"/>
      <c r="CQ312" s="354"/>
      <c r="CR312" s="354"/>
      <c r="CS312" s="354"/>
      <c r="CT312" s="354"/>
      <c r="CU312" s="354"/>
      <c r="CV312" s="354"/>
      <c r="CW312" s="354"/>
      <c r="CX312" s="354"/>
      <c r="CY312" s="354"/>
      <c r="CZ312" s="354"/>
      <c r="DA312" s="354"/>
      <c r="DB312" s="354"/>
      <c r="DC312" s="354"/>
      <c r="DD312" s="354"/>
      <c r="DE312" s="354"/>
      <c r="DF312" s="354"/>
      <c r="DG312" s="354"/>
      <c r="DH312" s="354"/>
      <c r="DI312" s="354"/>
      <c r="DJ312" s="354"/>
      <c r="DK312" s="354"/>
      <c r="DL312" s="354"/>
      <c r="DM312" s="354"/>
      <c r="DN312" s="354"/>
      <c r="DO312" s="354"/>
      <c r="DP312" s="354"/>
      <c r="DQ312" s="354"/>
      <c r="DR312" s="354"/>
      <c r="DS312" s="354"/>
      <c r="DT312" s="354"/>
      <c r="DU312" s="354"/>
      <c r="DV312" s="354"/>
      <c r="DW312" s="543">
        <f t="shared" si="37"/>
        <v>0</v>
      </c>
      <c r="DX312" s="869">
        <f>DW312+DW313+DW314</f>
        <v>133.07461385999997</v>
      </c>
      <c r="DY312" s="704">
        <f>+DX312*1000000</f>
        <v>133074613.85999997</v>
      </c>
      <c r="DZ312" s="870">
        <f>+DY312-D312</f>
        <v>0</v>
      </c>
      <c r="EA312" s="874" t="str">
        <f>VLOOKUP(POA!$B312,INTERPLAN,28,0)</f>
        <v>N/A</v>
      </c>
      <c r="EB312" s="860" t="e">
        <f>+EDATE(EA312,C313)</f>
        <v>#VALUE!</v>
      </c>
      <c r="EC312" s="860" t="e">
        <f>EB312+30</f>
        <v>#VALUE!</v>
      </c>
      <c r="ED312" s="860" t="e">
        <f>CONCATENATE(MONTH(EA312),"-",YEAR(EA312))</f>
        <v>#VALUE!</v>
      </c>
      <c r="EE312" s="860" t="e">
        <f>CONCATENATE(MONTH(EB312),"-",YEAR(EB312))</f>
        <v>#VALUE!</v>
      </c>
      <c r="EF312" s="862" t="e">
        <f>CONCATENATE(MONTH(EC312),"-",YEAR(EC312))</f>
        <v>#VALUE!</v>
      </c>
      <c r="EG312" s="1105" t="e">
        <f>+YEAR(EA312)</f>
        <v>#VALUE!</v>
      </c>
      <c r="EI312" s="858">
        <f>+DW312+DW313+DW314</f>
        <v>133.07461385999997</v>
      </c>
      <c r="EJ312" s="877">
        <f>+D312/1000000-EI312</f>
        <v>0</v>
      </c>
      <c r="ER312" s="497"/>
    </row>
    <row r="313" spans="1:148" s="278" customFormat="1" outlineLevel="2" x14ac:dyDescent="0.2">
      <c r="A313" s="906"/>
      <c r="B313" s="886"/>
      <c r="C313" s="903"/>
      <c r="D313" s="864"/>
      <c r="E313" s="867"/>
      <c r="F313" s="311" t="s">
        <v>210</v>
      </c>
      <c r="G313" s="363"/>
      <c r="H313" s="363">
        <v>0</v>
      </c>
      <c r="I313" s="363">
        <v>0</v>
      </c>
      <c r="J313" s="363">
        <v>0</v>
      </c>
      <c r="K313" s="363">
        <v>0</v>
      </c>
      <c r="L313" s="363">
        <v>0</v>
      </c>
      <c r="M313" s="363">
        <v>0</v>
      </c>
      <c r="N313" s="363">
        <v>0</v>
      </c>
      <c r="O313" s="363">
        <v>0</v>
      </c>
      <c r="P313" s="363">
        <v>0</v>
      </c>
      <c r="Q313" s="363">
        <v>0</v>
      </c>
      <c r="R313" s="363">
        <v>0</v>
      </c>
      <c r="S313" s="363">
        <v>0</v>
      </c>
      <c r="T313" s="363">
        <v>0</v>
      </c>
      <c r="U313" s="363">
        <v>0</v>
      </c>
      <c r="V313" s="363">
        <v>0</v>
      </c>
      <c r="W313" s="363">
        <v>0</v>
      </c>
      <c r="X313" s="363">
        <v>0</v>
      </c>
      <c r="Y313" s="363">
        <v>0</v>
      </c>
      <c r="Z313" s="363">
        <v>0</v>
      </c>
      <c r="AA313" s="363">
        <v>0</v>
      </c>
      <c r="AB313" s="363">
        <v>0</v>
      </c>
      <c r="AC313" s="363">
        <v>0</v>
      </c>
      <c r="AD313" s="363">
        <v>0</v>
      </c>
      <c r="AE313" s="363">
        <v>0</v>
      </c>
      <c r="AF313" s="363">
        <v>0</v>
      </c>
      <c r="AG313" s="363">
        <v>0</v>
      </c>
      <c r="AH313" s="363">
        <v>0</v>
      </c>
      <c r="AI313" s="363">
        <v>0</v>
      </c>
      <c r="AJ313" s="363">
        <v>0</v>
      </c>
      <c r="AK313" s="363">
        <v>0</v>
      </c>
      <c r="AL313" s="363">
        <v>0</v>
      </c>
      <c r="AM313" s="363">
        <v>0</v>
      </c>
      <c r="AN313" s="363">
        <v>0</v>
      </c>
      <c r="AO313" s="363">
        <v>0</v>
      </c>
      <c r="AP313" s="363">
        <v>0</v>
      </c>
      <c r="AQ313" s="363">
        <v>0</v>
      </c>
      <c r="AR313" s="363">
        <v>0</v>
      </c>
      <c r="AS313" s="363">
        <v>0</v>
      </c>
      <c r="AT313" s="363">
        <v>0</v>
      </c>
      <c r="AU313" s="363">
        <v>0</v>
      </c>
      <c r="AV313" s="363">
        <v>0</v>
      </c>
      <c r="AW313" s="363">
        <v>0</v>
      </c>
      <c r="AX313" s="363">
        <v>0</v>
      </c>
      <c r="AY313" s="363">
        <v>0</v>
      </c>
      <c r="AZ313" s="363">
        <v>0</v>
      </c>
      <c r="BA313" s="363">
        <v>0</v>
      </c>
      <c r="BB313" s="363">
        <v>0</v>
      </c>
      <c r="BC313" s="363">
        <v>0</v>
      </c>
      <c r="BD313" s="363">
        <v>0</v>
      </c>
      <c r="BE313" s="363">
        <v>0</v>
      </c>
      <c r="BF313" s="363">
        <v>0</v>
      </c>
      <c r="BG313" s="363">
        <v>0</v>
      </c>
      <c r="BH313" s="363">
        <v>0</v>
      </c>
      <c r="BI313" s="363">
        <v>0</v>
      </c>
      <c r="BJ313" s="363">
        <v>0</v>
      </c>
      <c r="BK313" s="363">
        <v>0</v>
      </c>
      <c r="BL313" s="363">
        <v>0</v>
      </c>
      <c r="BM313" s="363">
        <v>0</v>
      </c>
      <c r="BN313" s="363">
        <v>0</v>
      </c>
      <c r="BO313" s="363">
        <v>0</v>
      </c>
      <c r="BP313" s="363">
        <v>0</v>
      </c>
      <c r="BQ313" s="363">
        <v>0</v>
      </c>
      <c r="BR313" s="363">
        <v>0</v>
      </c>
      <c r="BS313" s="363">
        <v>0</v>
      </c>
      <c r="BT313" s="363">
        <v>0</v>
      </c>
      <c r="BU313" s="363">
        <v>0</v>
      </c>
      <c r="BV313" s="363">
        <v>0</v>
      </c>
      <c r="BW313" s="363">
        <v>0</v>
      </c>
      <c r="BX313" s="363">
        <v>0</v>
      </c>
      <c r="BY313" s="363">
        <v>0</v>
      </c>
      <c r="BZ313" s="363">
        <v>0</v>
      </c>
      <c r="CA313" s="363">
        <v>0</v>
      </c>
      <c r="CB313" s="363">
        <v>0</v>
      </c>
      <c r="CC313" s="363">
        <v>0</v>
      </c>
      <c r="CD313" s="363">
        <v>0</v>
      </c>
      <c r="CE313" s="363">
        <v>0</v>
      </c>
      <c r="CF313" s="363">
        <v>0</v>
      </c>
      <c r="CG313" s="363">
        <v>0</v>
      </c>
      <c r="CH313" s="363">
        <v>0</v>
      </c>
      <c r="CI313" s="363">
        <v>0</v>
      </c>
      <c r="CJ313" s="363">
        <v>0</v>
      </c>
      <c r="CK313" s="363">
        <v>0</v>
      </c>
      <c r="CL313" s="363">
        <v>0</v>
      </c>
      <c r="CM313" s="363"/>
      <c r="CN313" s="363"/>
      <c r="CO313" s="363"/>
      <c r="CP313" s="363"/>
      <c r="CQ313" s="363"/>
      <c r="CR313" s="363"/>
      <c r="CS313" s="363"/>
      <c r="CT313" s="363"/>
      <c r="CU313" s="363"/>
      <c r="CV313" s="363"/>
      <c r="CW313" s="363"/>
      <c r="CX313" s="363"/>
      <c r="CY313" s="363"/>
      <c r="CZ313" s="363"/>
      <c r="DA313" s="363"/>
      <c r="DB313" s="363"/>
      <c r="DC313" s="363"/>
      <c r="DD313" s="363"/>
      <c r="DE313" s="363"/>
      <c r="DF313" s="363"/>
      <c r="DG313" s="363"/>
      <c r="DH313" s="363"/>
      <c r="DI313" s="363"/>
      <c r="DJ313" s="363"/>
      <c r="DK313" s="363"/>
      <c r="DL313" s="363"/>
      <c r="DM313" s="363"/>
      <c r="DN313" s="363"/>
      <c r="DO313" s="363"/>
      <c r="DP313" s="363"/>
      <c r="DQ313" s="363"/>
      <c r="DR313" s="363"/>
      <c r="DS313" s="363"/>
      <c r="DT313" s="363"/>
      <c r="DU313" s="363"/>
      <c r="DV313" s="363"/>
      <c r="DW313" s="544">
        <f t="shared" si="37"/>
        <v>0</v>
      </c>
      <c r="DX313" s="890"/>
      <c r="DY313" s="705"/>
      <c r="DZ313" s="871"/>
      <c r="EA313" s="895"/>
      <c r="EB313" s="878"/>
      <c r="EC313" s="878"/>
      <c r="ED313" s="878"/>
      <c r="EE313" s="878"/>
      <c r="EF313" s="880"/>
      <c r="EG313" s="1106"/>
      <c r="EI313" s="858"/>
      <c r="EJ313" s="877"/>
      <c r="ER313" s="497"/>
    </row>
    <row r="314" spans="1:148" s="278" customFormat="1" ht="12.75" outlineLevel="2" thickBot="1" x14ac:dyDescent="0.25">
      <c r="A314" s="907"/>
      <c r="B314" s="908"/>
      <c r="C314" s="909"/>
      <c r="D314" s="876"/>
      <c r="E314" s="875"/>
      <c r="F314" s="313" t="s">
        <v>211</v>
      </c>
      <c r="G314" s="387"/>
      <c r="H314" s="387">
        <v>133.07461385999997</v>
      </c>
      <c r="I314" s="387">
        <v>0</v>
      </c>
      <c r="J314" s="387">
        <v>0</v>
      </c>
      <c r="K314" s="387">
        <v>0</v>
      </c>
      <c r="L314" s="387">
        <v>0</v>
      </c>
      <c r="M314" s="387">
        <v>0</v>
      </c>
      <c r="N314" s="387">
        <v>0</v>
      </c>
      <c r="O314" s="387">
        <v>0</v>
      </c>
      <c r="P314" s="387">
        <v>0</v>
      </c>
      <c r="Q314" s="387">
        <v>0</v>
      </c>
      <c r="R314" s="387">
        <v>0</v>
      </c>
      <c r="S314" s="387">
        <v>0</v>
      </c>
      <c r="T314" s="387">
        <v>0</v>
      </c>
      <c r="U314" s="387">
        <v>0</v>
      </c>
      <c r="V314" s="387">
        <v>0</v>
      </c>
      <c r="W314" s="387">
        <v>0</v>
      </c>
      <c r="X314" s="387">
        <v>0</v>
      </c>
      <c r="Y314" s="387">
        <v>0</v>
      </c>
      <c r="Z314" s="387">
        <v>0</v>
      </c>
      <c r="AA314" s="387">
        <v>0</v>
      </c>
      <c r="AB314" s="387">
        <v>0</v>
      </c>
      <c r="AC314" s="387">
        <v>0</v>
      </c>
      <c r="AD314" s="387">
        <v>0</v>
      </c>
      <c r="AE314" s="387">
        <v>0</v>
      </c>
      <c r="AF314" s="387">
        <v>0</v>
      </c>
      <c r="AG314" s="387">
        <v>0</v>
      </c>
      <c r="AH314" s="387">
        <v>0</v>
      </c>
      <c r="AI314" s="387">
        <v>0</v>
      </c>
      <c r="AJ314" s="387">
        <v>0</v>
      </c>
      <c r="AK314" s="387">
        <v>0</v>
      </c>
      <c r="AL314" s="387">
        <v>0</v>
      </c>
      <c r="AM314" s="387">
        <v>0</v>
      </c>
      <c r="AN314" s="387">
        <v>0</v>
      </c>
      <c r="AO314" s="387">
        <v>0</v>
      </c>
      <c r="AP314" s="387">
        <v>0</v>
      </c>
      <c r="AQ314" s="387">
        <v>0</v>
      </c>
      <c r="AR314" s="387">
        <v>0</v>
      </c>
      <c r="AS314" s="387">
        <v>0</v>
      </c>
      <c r="AT314" s="387">
        <v>0</v>
      </c>
      <c r="AU314" s="387">
        <v>0</v>
      </c>
      <c r="AV314" s="387">
        <v>0</v>
      </c>
      <c r="AW314" s="387">
        <v>0</v>
      </c>
      <c r="AX314" s="387">
        <v>0</v>
      </c>
      <c r="AY314" s="387">
        <v>0</v>
      </c>
      <c r="AZ314" s="387">
        <v>0</v>
      </c>
      <c r="BA314" s="387">
        <v>0</v>
      </c>
      <c r="BB314" s="387">
        <v>0</v>
      </c>
      <c r="BC314" s="387">
        <v>0</v>
      </c>
      <c r="BD314" s="387">
        <v>0</v>
      </c>
      <c r="BE314" s="387">
        <v>0</v>
      </c>
      <c r="BF314" s="387">
        <v>0</v>
      </c>
      <c r="BG314" s="387">
        <v>0</v>
      </c>
      <c r="BH314" s="387">
        <v>0</v>
      </c>
      <c r="BI314" s="387">
        <v>0</v>
      </c>
      <c r="BJ314" s="387">
        <v>0</v>
      </c>
      <c r="BK314" s="387">
        <v>0</v>
      </c>
      <c r="BL314" s="387">
        <v>0</v>
      </c>
      <c r="BM314" s="387">
        <v>0</v>
      </c>
      <c r="BN314" s="387">
        <v>0</v>
      </c>
      <c r="BO314" s="387">
        <v>0</v>
      </c>
      <c r="BP314" s="387">
        <v>0</v>
      </c>
      <c r="BQ314" s="387">
        <v>0</v>
      </c>
      <c r="BR314" s="387">
        <v>0</v>
      </c>
      <c r="BS314" s="387">
        <v>0</v>
      </c>
      <c r="BT314" s="387">
        <v>0</v>
      </c>
      <c r="BU314" s="387">
        <v>0</v>
      </c>
      <c r="BV314" s="387">
        <v>0</v>
      </c>
      <c r="BW314" s="387">
        <v>0</v>
      </c>
      <c r="BX314" s="387">
        <v>0</v>
      </c>
      <c r="BY314" s="387">
        <v>0</v>
      </c>
      <c r="BZ314" s="387">
        <v>0</v>
      </c>
      <c r="CA314" s="387">
        <v>0</v>
      </c>
      <c r="CB314" s="387">
        <v>0</v>
      </c>
      <c r="CC314" s="387">
        <v>0</v>
      </c>
      <c r="CD314" s="387">
        <v>0</v>
      </c>
      <c r="CE314" s="387">
        <v>0</v>
      </c>
      <c r="CF314" s="387">
        <v>0</v>
      </c>
      <c r="CG314" s="387">
        <v>0</v>
      </c>
      <c r="CH314" s="387">
        <v>0</v>
      </c>
      <c r="CI314" s="387">
        <v>0</v>
      </c>
      <c r="CJ314" s="387">
        <v>0</v>
      </c>
      <c r="CK314" s="387">
        <v>0</v>
      </c>
      <c r="CL314" s="387">
        <v>0</v>
      </c>
      <c r="CM314" s="387"/>
      <c r="CN314" s="387"/>
      <c r="CO314" s="387"/>
      <c r="CP314" s="387"/>
      <c r="CQ314" s="387"/>
      <c r="CR314" s="387"/>
      <c r="CS314" s="387"/>
      <c r="CT314" s="387"/>
      <c r="CU314" s="387"/>
      <c r="CV314" s="387"/>
      <c r="CW314" s="387"/>
      <c r="CX314" s="387"/>
      <c r="CY314" s="387"/>
      <c r="CZ314" s="387"/>
      <c r="DA314" s="387"/>
      <c r="DB314" s="387"/>
      <c r="DC314" s="387"/>
      <c r="DD314" s="387"/>
      <c r="DE314" s="387"/>
      <c r="DF314" s="387"/>
      <c r="DG314" s="387"/>
      <c r="DH314" s="387"/>
      <c r="DI314" s="387"/>
      <c r="DJ314" s="387"/>
      <c r="DK314" s="387"/>
      <c r="DL314" s="387"/>
      <c r="DM314" s="387"/>
      <c r="DN314" s="387"/>
      <c r="DO314" s="387"/>
      <c r="DP314" s="387"/>
      <c r="DQ314" s="387"/>
      <c r="DR314" s="387"/>
      <c r="DS314" s="387"/>
      <c r="DT314" s="387"/>
      <c r="DU314" s="387"/>
      <c r="DV314" s="387"/>
      <c r="DW314" s="545">
        <f t="shared" si="37"/>
        <v>133.07461385999997</v>
      </c>
      <c r="DX314" s="891"/>
      <c r="DY314" s="706"/>
      <c r="DZ314" s="872"/>
      <c r="EA314" s="896"/>
      <c r="EB314" s="879"/>
      <c r="EC314" s="879"/>
      <c r="ED314" s="879"/>
      <c r="EE314" s="879"/>
      <c r="EF314" s="881"/>
      <c r="EG314" s="1107"/>
      <c r="EI314" s="858"/>
      <c r="EJ314" s="877"/>
      <c r="ER314" s="497"/>
    </row>
    <row r="315" spans="1:148" s="278" customFormat="1" ht="24" outlineLevel="2" x14ac:dyDescent="0.2">
      <c r="A315" s="905" t="s">
        <v>557</v>
      </c>
      <c r="B315" s="897">
        <v>106</v>
      </c>
      <c r="C315" s="902"/>
      <c r="D315" s="863">
        <f>+IFERROR(VLOOKUP(B315,'Detalle Plan de Adquisiciones'!$G$53:$L$153,6,FALSE),0)</f>
        <v>59397055.280000001</v>
      </c>
      <c r="E315" s="866" t="str">
        <f>+'Detalle Plan de Adquisiciones'!F126</f>
        <v>INTERVENTORÍA TÉCNICA, ADMINISTRATIVA, FINANCIERA Y AMBIENTAL AL CONTRATO CUYO OBJETO ES: CALLE 5 ( DIAG 2E) ENTRE TRANSVERSAL 9 Y CARRERA 25 (BARRIO P5)</v>
      </c>
      <c r="F315" s="312" t="s">
        <v>410</v>
      </c>
      <c r="G315" s="354">
        <v>0</v>
      </c>
      <c r="H315" s="354">
        <v>0</v>
      </c>
      <c r="I315" s="354">
        <v>0</v>
      </c>
      <c r="J315" s="354">
        <v>0</v>
      </c>
      <c r="K315" s="354">
        <v>0</v>
      </c>
      <c r="L315" s="354">
        <v>0</v>
      </c>
      <c r="M315" s="354">
        <v>0</v>
      </c>
      <c r="N315" s="354">
        <v>0</v>
      </c>
      <c r="O315" s="354">
        <v>0</v>
      </c>
      <c r="P315" s="354">
        <v>0</v>
      </c>
      <c r="Q315" s="354">
        <v>0</v>
      </c>
      <c r="R315" s="354">
        <v>0</v>
      </c>
      <c r="S315" s="354">
        <v>0</v>
      </c>
      <c r="T315" s="354">
        <v>0</v>
      </c>
      <c r="U315" s="354">
        <v>0</v>
      </c>
      <c r="V315" s="354">
        <v>0</v>
      </c>
      <c r="W315" s="354">
        <v>0</v>
      </c>
      <c r="X315" s="354">
        <v>0</v>
      </c>
      <c r="Y315" s="354">
        <v>0</v>
      </c>
      <c r="Z315" s="354">
        <v>0</v>
      </c>
      <c r="AA315" s="354">
        <v>0</v>
      </c>
      <c r="AB315" s="354">
        <v>0</v>
      </c>
      <c r="AC315" s="354">
        <v>0</v>
      </c>
      <c r="AD315" s="354">
        <v>0</v>
      </c>
      <c r="AE315" s="354">
        <v>0</v>
      </c>
      <c r="AF315" s="354">
        <v>0</v>
      </c>
      <c r="AG315" s="354">
        <v>0</v>
      </c>
      <c r="AH315" s="354">
        <v>0</v>
      </c>
      <c r="AI315" s="354">
        <v>0</v>
      </c>
      <c r="AJ315" s="354">
        <v>0</v>
      </c>
      <c r="AK315" s="354">
        <v>0</v>
      </c>
      <c r="AL315" s="354">
        <v>0</v>
      </c>
      <c r="AM315" s="354">
        <v>0</v>
      </c>
      <c r="AN315" s="354">
        <v>0</v>
      </c>
      <c r="AO315" s="354">
        <v>0</v>
      </c>
      <c r="AP315" s="354">
        <v>0</v>
      </c>
      <c r="AQ315" s="354">
        <v>0</v>
      </c>
      <c r="AR315" s="354">
        <v>0</v>
      </c>
      <c r="AS315" s="354">
        <v>0</v>
      </c>
      <c r="AT315" s="354">
        <v>0</v>
      </c>
      <c r="AU315" s="354">
        <v>0</v>
      </c>
      <c r="AV315" s="354">
        <v>0</v>
      </c>
      <c r="AW315" s="354">
        <v>0</v>
      </c>
      <c r="AX315" s="354">
        <v>0</v>
      </c>
      <c r="AY315" s="354">
        <v>0</v>
      </c>
      <c r="AZ315" s="354">
        <v>0</v>
      </c>
      <c r="BA315" s="354">
        <v>0</v>
      </c>
      <c r="BB315" s="354">
        <v>0</v>
      </c>
      <c r="BC315" s="354">
        <v>0</v>
      </c>
      <c r="BD315" s="354">
        <v>0</v>
      </c>
      <c r="BE315" s="354">
        <v>0</v>
      </c>
      <c r="BF315" s="354">
        <v>0</v>
      </c>
      <c r="BG315" s="354">
        <v>0</v>
      </c>
      <c r="BH315" s="354">
        <v>0</v>
      </c>
      <c r="BI315" s="354">
        <v>0</v>
      </c>
      <c r="BJ315" s="354">
        <v>0</v>
      </c>
      <c r="BK315" s="354">
        <v>0</v>
      </c>
      <c r="BL315" s="354">
        <v>0</v>
      </c>
      <c r="BM315" s="354">
        <v>0</v>
      </c>
      <c r="BN315" s="354">
        <v>0</v>
      </c>
      <c r="BO315" s="354">
        <v>0</v>
      </c>
      <c r="BP315" s="354">
        <v>0</v>
      </c>
      <c r="BQ315" s="354">
        <v>0</v>
      </c>
      <c r="BR315" s="354">
        <v>0</v>
      </c>
      <c r="BS315" s="354">
        <v>0</v>
      </c>
      <c r="BT315" s="354">
        <v>0</v>
      </c>
      <c r="BU315" s="354">
        <v>0</v>
      </c>
      <c r="BV315" s="354">
        <v>0</v>
      </c>
      <c r="BW315" s="354">
        <v>0</v>
      </c>
      <c r="BX315" s="354">
        <v>0</v>
      </c>
      <c r="BY315" s="354">
        <v>0</v>
      </c>
      <c r="BZ315" s="354">
        <v>0</v>
      </c>
      <c r="CA315" s="354">
        <v>0</v>
      </c>
      <c r="CB315" s="354">
        <v>0</v>
      </c>
      <c r="CC315" s="354">
        <v>0</v>
      </c>
      <c r="CD315" s="354">
        <v>0</v>
      </c>
      <c r="CE315" s="354">
        <v>0</v>
      </c>
      <c r="CF315" s="354">
        <v>0</v>
      </c>
      <c r="CG315" s="354">
        <v>0</v>
      </c>
      <c r="CH315" s="354">
        <v>0</v>
      </c>
      <c r="CI315" s="354">
        <v>0</v>
      </c>
      <c r="CJ315" s="354">
        <v>0</v>
      </c>
      <c r="CK315" s="354">
        <v>0</v>
      </c>
      <c r="CL315" s="354">
        <v>0</v>
      </c>
      <c r="CM315" s="354"/>
      <c r="CN315" s="354"/>
      <c r="CO315" s="354"/>
      <c r="CP315" s="354"/>
      <c r="CQ315" s="354"/>
      <c r="CR315" s="354"/>
      <c r="CS315" s="354"/>
      <c r="CT315" s="354"/>
      <c r="CU315" s="354"/>
      <c r="CV315" s="354"/>
      <c r="CW315" s="354"/>
      <c r="CX315" s="354"/>
      <c r="CY315" s="354"/>
      <c r="CZ315" s="354"/>
      <c r="DA315" s="354"/>
      <c r="DB315" s="354"/>
      <c r="DC315" s="354"/>
      <c r="DD315" s="354"/>
      <c r="DE315" s="354"/>
      <c r="DF315" s="354"/>
      <c r="DG315" s="354"/>
      <c r="DH315" s="354"/>
      <c r="DI315" s="354"/>
      <c r="DJ315" s="354"/>
      <c r="DK315" s="354"/>
      <c r="DL315" s="354"/>
      <c r="DM315" s="354"/>
      <c r="DN315" s="354"/>
      <c r="DO315" s="354"/>
      <c r="DP315" s="354"/>
      <c r="DQ315" s="354"/>
      <c r="DR315" s="354"/>
      <c r="DS315" s="354"/>
      <c r="DT315" s="354"/>
      <c r="DU315" s="354"/>
      <c r="DV315" s="354"/>
      <c r="DW315" s="543">
        <f t="shared" si="37"/>
        <v>0</v>
      </c>
      <c r="DX315" s="869">
        <f>DW315+DW316+DW317</f>
        <v>59.397055280000004</v>
      </c>
      <c r="DY315" s="704">
        <f>+DX315*1000000</f>
        <v>59397055.280000001</v>
      </c>
      <c r="DZ315" s="870">
        <f>+DY315-D315</f>
        <v>0</v>
      </c>
      <c r="EA315" s="874" t="str">
        <f>VLOOKUP(POA!$B315,INTERPLAN,28,0)</f>
        <v>N/A</v>
      </c>
      <c r="EB315" s="860" t="e">
        <f>+EDATE(EA315,C316)</f>
        <v>#VALUE!</v>
      </c>
      <c r="EC315" s="860" t="e">
        <f>EB315+30</f>
        <v>#VALUE!</v>
      </c>
      <c r="ED315" s="860" t="e">
        <f>CONCATENATE(MONTH(EA315),"-",YEAR(EA315))</f>
        <v>#VALUE!</v>
      </c>
      <c r="EE315" s="860" t="e">
        <f>CONCATENATE(MONTH(EB315),"-",YEAR(EB315))</f>
        <v>#VALUE!</v>
      </c>
      <c r="EF315" s="862" t="e">
        <f>CONCATENATE(MONTH(EC315),"-",YEAR(EC315))</f>
        <v>#VALUE!</v>
      </c>
      <c r="EG315" s="1105" t="e">
        <f>+YEAR(EA315)</f>
        <v>#VALUE!</v>
      </c>
      <c r="EI315" s="858">
        <f>+DW315+DW316+DW317</f>
        <v>59.397055280000004</v>
      </c>
      <c r="EJ315" s="877">
        <f>+D315/1000000-EI315</f>
        <v>0</v>
      </c>
      <c r="ER315" s="497"/>
    </row>
    <row r="316" spans="1:148" s="278" customFormat="1" outlineLevel="2" x14ac:dyDescent="0.2">
      <c r="A316" s="906"/>
      <c r="B316" s="886"/>
      <c r="C316" s="903"/>
      <c r="D316" s="864"/>
      <c r="E316" s="867"/>
      <c r="F316" s="311" t="s">
        <v>210</v>
      </c>
      <c r="G316" s="363"/>
      <c r="H316" s="363">
        <v>0</v>
      </c>
      <c r="I316" s="363">
        <v>0</v>
      </c>
      <c r="J316" s="363">
        <v>0</v>
      </c>
      <c r="K316" s="363">
        <v>0</v>
      </c>
      <c r="L316" s="363">
        <v>0</v>
      </c>
      <c r="M316" s="363">
        <v>0</v>
      </c>
      <c r="N316" s="363">
        <v>0</v>
      </c>
      <c r="O316" s="363">
        <v>0</v>
      </c>
      <c r="P316" s="363">
        <v>0</v>
      </c>
      <c r="Q316" s="363">
        <v>0</v>
      </c>
      <c r="R316" s="363">
        <v>0</v>
      </c>
      <c r="S316" s="363">
        <v>0</v>
      </c>
      <c r="T316" s="363">
        <v>0</v>
      </c>
      <c r="U316" s="363">
        <v>0</v>
      </c>
      <c r="V316" s="363">
        <v>0</v>
      </c>
      <c r="W316" s="363">
        <v>0</v>
      </c>
      <c r="X316" s="363">
        <v>0</v>
      </c>
      <c r="Y316" s="363">
        <v>0</v>
      </c>
      <c r="Z316" s="363">
        <v>0</v>
      </c>
      <c r="AA316" s="363">
        <v>0</v>
      </c>
      <c r="AB316" s="363">
        <v>0</v>
      </c>
      <c r="AC316" s="363">
        <v>0</v>
      </c>
      <c r="AD316" s="363">
        <v>0</v>
      </c>
      <c r="AE316" s="363">
        <v>0</v>
      </c>
      <c r="AF316" s="363">
        <v>0</v>
      </c>
      <c r="AG316" s="363">
        <v>0</v>
      </c>
      <c r="AH316" s="363">
        <v>0</v>
      </c>
      <c r="AI316" s="363">
        <v>0</v>
      </c>
      <c r="AJ316" s="363">
        <v>0</v>
      </c>
      <c r="AK316" s="363">
        <v>0</v>
      </c>
      <c r="AL316" s="363">
        <v>0</v>
      </c>
      <c r="AM316" s="363">
        <v>0</v>
      </c>
      <c r="AN316" s="363">
        <v>0</v>
      </c>
      <c r="AO316" s="363">
        <v>0</v>
      </c>
      <c r="AP316" s="363">
        <v>0</v>
      </c>
      <c r="AQ316" s="363">
        <v>0</v>
      </c>
      <c r="AR316" s="363">
        <v>0</v>
      </c>
      <c r="AS316" s="363">
        <v>0</v>
      </c>
      <c r="AT316" s="363">
        <v>0</v>
      </c>
      <c r="AU316" s="363">
        <v>0</v>
      </c>
      <c r="AV316" s="363">
        <v>0</v>
      </c>
      <c r="AW316" s="363">
        <v>0</v>
      </c>
      <c r="AX316" s="363">
        <v>0</v>
      </c>
      <c r="AY316" s="363">
        <v>0</v>
      </c>
      <c r="AZ316" s="363">
        <v>0</v>
      </c>
      <c r="BA316" s="363">
        <v>0</v>
      </c>
      <c r="BB316" s="363">
        <v>0</v>
      </c>
      <c r="BC316" s="363">
        <v>0</v>
      </c>
      <c r="BD316" s="363">
        <v>0</v>
      </c>
      <c r="BE316" s="363">
        <v>0</v>
      </c>
      <c r="BF316" s="363">
        <v>0</v>
      </c>
      <c r="BG316" s="363">
        <v>0</v>
      </c>
      <c r="BH316" s="363">
        <v>0</v>
      </c>
      <c r="BI316" s="363">
        <v>0</v>
      </c>
      <c r="BJ316" s="363">
        <v>0</v>
      </c>
      <c r="BK316" s="363">
        <v>0</v>
      </c>
      <c r="BL316" s="363">
        <v>0</v>
      </c>
      <c r="BM316" s="363">
        <v>0</v>
      </c>
      <c r="BN316" s="363">
        <v>0</v>
      </c>
      <c r="BO316" s="363">
        <v>0</v>
      </c>
      <c r="BP316" s="363">
        <v>0</v>
      </c>
      <c r="BQ316" s="363">
        <v>0</v>
      </c>
      <c r="BR316" s="363">
        <v>0</v>
      </c>
      <c r="BS316" s="363">
        <v>0</v>
      </c>
      <c r="BT316" s="363">
        <v>0</v>
      </c>
      <c r="BU316" s="363">
        <v>0</v>
      </c>
      <c r="BV316" s="363">
        <v>0</v>
      </c>
      <c r="BW316" s="363">
        <v>0</v>
      </c>
      <c r="BX316" s="363">
        <v>0</v>
      </c>
      <c r="BY316" s="363">
        <v>0</v>
      </c>
      <c r="BZ316" s="363">
        <v>0</v>
      </c>
      <c r="CA316" s="363">
        <v>0</v>
      </c>
      <c r="CB316" s="363">
        <v>0</v>
      </c>
      <c r="CC316" s="363">
        <v>0</v>
      </c>
      <c r="CD316" s="363">
        <v>0</v>
      </c>
      <c r="CE316" s="363">
        <v>0</v>
      </c>
      <c r="CF316" s="363">
        <v>0</v>
      </c>
      <c r="CG316" s="363">
        <v>0</v>
      </c>
      <c r="CH316" s="363">
        <v>0</v>
      </c>
      <c r="CI316" s="363">
        <v>0</v>
      </c>
      <c r="CJ316" s="363">
        <v>0</v>
      </c>
      <c r="CK316" s="363">
        <v>0</v>
      </c>
      <c r="CL316" s="363">
        <v>0</v>
      </c>
      <c r="CM316" s="363"/>
      <c r="CN316" s="363"/>
      <c r="CO316" s="363"/>
      <c r="CP316" s="363"/>
      <c r="CQ316" s="363"/>
      <c r="CR316" s="363"/>
      <c r="CS316" s="363"/>
      <c r="CT316" s="363"/>
      <c r="CU316" s="363"/>
      <c r="CV316" s="363"/>
      <c r="CW316" s="363"/>
      <c r="CX316" s="363"/>
      <c r="CY316" s="363"/>
      <c r="CZ316" s="363"/>
      <c r="DA316" s="363"/>
      <c r="DB316" s="363"/>
      <c r="DC316" s="363"/>
      <c r="DD316" s="363"/>
      <c r="DE316" s="363"/>
      <c r="DF316" s="363"/>
      <c r="DG316" s="363"/>
      <c r="DH316" s="363"/>
      <c r="DI316" s="363"/>
      <c r="DJ316" s="363"/>
      <c r="DK316" s="363"/>
      <c r="DL316" s="363"/>
      <c r="DM316" s="363"/>
      <c r="DN316" s="363"/>
      <c r="DO316" s="363"/>
      <c r="DP316" s="363"/>
      <c r="DQ316" s="363"/>
      <c r="DR316" s="363"/>
      <c r="DS316" s="363"/>
      <c r="DT316" s="363"/>
      <c r="DU316" s="363"/>
      <c r="DV316" s="363"/>
      <c r="DW316" s="544">
        <f t="shared" si="37"/>
        <v>0</v>
      </c>
      <c r="DX316" s="890"/>
      <c r="DY316" s="705"/>
      <c r="DZ316" s="871"/>
      <c r="EA316" s="895"/>
      <c r="EB316" s="878"/>
      <c r="EC316" s="878"/>
      <c r="ED316" s="878"/>
      <c r="EE316" s="878"/>
      <c r="EF316" s="880"/>
      <c r="EG316" s="1106"/>
      <c r="EI316" s="858"/>
      <c r="EJ316" s="877"/>
      <c r="ER316" s="497"/>
    </row>
    <row r="317" spans="1:148" s="278" customFormat="1" ht="12.75" outlineLevel="2" thickBot="1" x14ac:dyDescent="0.25">
      <c r="A317" s="907"/>
      <c r="B317" s="908"/>
      <c r="C317" s="909"/>
      <c r="D317" s="876"/>
      <c r="E317" s="875"/>
      <c r="F317" s="313" t="s">
        <v>211</v>
      </c>
      <c r="G317" s="387"/>
      <c r="H317" s="387">
        <v>59.397055280000004</v>
      </c>
      <c r="I317" s="387">
        <v>0</v>
      </c>
      <c r="J317" s="387">
        <v>0</v>
      </c>
      <c r="K317" s="387">
        <v>0</v>
      </c>
      <c r="L317" s="387">
        <v>0</v>
      </c>
      <c r="M317" s="387">
        <v>0</v>
      </c>
      <c r="N317" s="387">
        <v>0</v>
      </c>
      <c r="O317" s="387">
        <v>0</v>
      </c>
      <c r="P317" s="387">
        <v>0</v>
      </c>
      <c r="Q317" s="387">
        <v>0</v>
      </c>
      <c r="R317" s="387">
        <v>0</v>
      </c>
      <c r="S317" s="387">
        <v>0</v>
      </c>
      <c r="T317" s="387">
        <v>0</v>
      </c>
      <c r="U317" s="387">
        <v>0</v>
      </c>
      <c r="V317" s="387">
        <v>0</v>
      </c>
      <c r="W317" s="387">
        <v>0</v>
      </c>
      <c r="X317" s="387">
        <v>0</v>
      </c>
      <c r="Y317" s="387">
        <v>0</v>
      </c>
      <c r="Z317" s="387">
        <v>0</v>
      </c>
      <c r="AA317" s="387">
        <v>0</v>
      </c>
      <c r="AB317" s="387">
        <v>0</v>
      </c>
      <c r="AC317" s="387">
        <v>0</v>
      </c>
      <c r="AD317" s="387">
        <v>0</v>
      </c>
      <c r="AE317" s="387">
        <v>0</v>
      </c>
      <c r="AF317" s="387">
        <v>0</v>
      </c>
      <c r="AG317" s="387">
        <v>0</v>
      </c>
      <c r="AH317" s="387">
        <v>0</v>
      </c>
      <c r="AI317" s="387">
        <v>0</v>
      </c>
      <c r="AJ317" s="387">
        <v>0</v>
      </c>
      <c r="AK317" s="387">
        <v>0</v>
      </c>
      <c r="AL317" s="387">
        <v>0</v>
      </c>
      <c r="AM317" s="387">
        <v>0</v>
      </c>
      <c r="AN317" s="387">
        <v>0</v>
      </c>
      <c r="AO317" s="387">
        <v>0</v>
      </c>
      <c r="AP317" s="387">
        <v>0</v>
      </c>
      <c r="AQ317" s="387">
        <v>0</v>
      </c>
      <c r="AR317" s="387">
        <v>0</v>
      </c>
      <c r="AS317" s="387">
        <v>0</v>
      </c>
      <c r="AT317" s="387">
        <v>0</v>
      </c>
      <c r="AU317" s="387">
        <v>0</v>
      </c>
      <c r="AV317" s="387">
        <v>0</v>
      </c>
      <c r="AW317" s="387">
        <v>0</v>
      </c>
      <c r="AX317" s="387">
        <v>0</v>
      </c>
      <c r="AY317" s="387">
        <v>0</v>
      </c>
      <c r="AZ317" s="387">
        <v>0</v>
      </c>
      <c r="BA317" s="387">
        <v>0</v>
      </c>
      <c r="BB317" s="387">
        <v>0</v>
      </c>
      <c r="BC317" s="387">
        <v>0</v>
      </c>
      <c r="BD317" s="387">
        <v>0</v>
      </c>
      <c r="BE317" s="387">
        <v>0</v>
      </c>
      <c r="BF317" s="387">
        <v>0</v>
      </c>
      <c r="BG317" s="387">
        <v>0</v>
      </c>
      <c r="BH317" s="387">
        <v>0</v>
      </c>
      <c r="BI317" s="387">
        <v>0</v>
      </c>
      <c r="BJ317" s="387">
        <v>0</v>
      </c>
      <c r="BK317" s="387">
        <v>0</v>
      </c>
      <c r="BL317" s="387">
        <v>0</v>
      </c>
      <c r="BM317" s="387">
        <v>0</v>
      </c>
      <c r="BN317" s="387">
        <v>0</v>
      </c>
      <c r="BO317" s="387">
        <v>0</v>
      </c>
      <c r="BP317" s="387">
        <v>0</v>
      </c>
      <c r="BQ317" s="387">
        <v>0</v>
      </c>
      <c r="BR317" s="387">
        <v>0</v>
      </c>
      <c r="BS317" s="387">
        <v>0</v>
      </c>
      <c r="BT317" s="387">
        <v>0</v>
      </c>
      <c r="BU317" s="387">
        <v>0</v>
      </c>
      <c r="BV317" s="387">
        <v>0</v>
      </c>
      <c r="BW317" s="387">
        <v>0</v>
      </c>
      <c r="BX317" s="387">
        <v>0</v>
      </c>
      <c r="BY317" s="387">
        <v>0</v>
      </c>
      <c r="BZ317" s="387">
        <v>0</v>
      </c>
      <c r="CA317" s="387">
        <v>0</v>
      </c>
      <c r="CB317" s="387">
        <v>0</v>
      </c>
      <c r="CC317" s="387">
        <v>0</v>
      </c>
      <c r="CD317" s="387">
        <v>0</v>
      </c>
      <c r="CE317" s="387">
        <v>0</v>
      </c>
      <c r="CF317" s="387">
        <v>0</v>
      </c>
      <c r="CG317" s="387">
        <v>0</v>
      </c>
      <c r="CH317" s="387">
        <v>0</v>
      </c>
      <c r="CI317" s="387">
        <v>0</v>
      </c>
      <c r="CJ317" s="387">
        <v>0</v>
      </c>
      <c r="CK317" s="387">
        <v>0</v>
      </c>
      <c r="CL317" s="387">
        <v>0</v>
      </c>
      <c r="CM317" s="387"/>
      <c r="CN317" s="387"/>
      <c r="CO317" s="387"/>
      <c r="CP317" s="387"/>
      <c r="CQ317" s="387"/>
      <c r="CR317" s="387"/>
      <c r="CS317" s="387"/>
      <c r="CT317" s="387"/>
      <c r="CU317" s="387"/>
      <c r="CV317" s="387"/>
      <c r="CW317" s="387"/>
      <c r="CX317" s="387"/>
      <c r="CY317" s="387"/>
      <c r="CZ317" s="387"/>
      <c r="DA317" s="387"/>
      <c r="DB317" s="387"/>
      <c r="DC317" s="387"/>
      <c r="DD317" s="387"/>
      <c r="DE317" s="387"/>
      <c r="DF317" s="387"/>
      <c r="DG317" s="387"/>
      <c r="DH317" s="387"/>
      <c r="DI317" s="387"/>
      <c r="DJ317" s="387"/>
      <c r="DK317" s="387"/>
      <c r="DL317" s="387"/>
      <c r="DM317" s="387"/>
      <c r="DN317" s="387"/>
      <c r="DO317" s="387"/>
      <c r="DP317" s="387"/>
      <c r="DQ317" s="387"/>
      <c r="DR317" s="387"/>
      <c r="DS317" s="387"/>
      <c r="DT317" s="387"/>
      <c r="DU317" s="387"/>
      <c r="DV317" s="387"/>
      <c r="DW317" s="545">
        <f t="shared" si="37"/>
        <v>59.397055280000004</v>
      </c>
      <c r="DX317" s="891"/>
      <c r="DY317" s="706"/>
      <c r="DZ317" s="872"/>
      <c r="EA317" s="896"/>
      <c r="EB317" s="879"/>
      <c r="EC317" s="879"/>
      <c r="ED317" s="879"/>
      <c r="EE317" s="879"/>
      <c r="EF317" s="881"/>
      <c r="EG317" s="1107"/>
      <c r="EI317" s="858"/>
      <c r="EJ317" s="877"/>
      <c r="ER317" s="497"/>
    </row>
    <row r="318" spans="1:148" s="278" customFormat="1" ht="24" outlineLevel="2" x14ac:dyDescent="0.2">
      <c r="A318" s="910" t="s">
        <v>557</v>
      </c>
      <c r="B318" s="885">
        <v>119</v>
      </c>
      <c r="C318" s="911"/>
      <c r="D318" s="888">
        <f>+IFERROR(VLOOKUP(B318,'Detalle Plan de Adquisiciones'!$G$53:$L$153,6,FALSE),0)</f>
        <v>457356567.04000002</v>
      </c>
      <c r="E318" s="889" t="str">
        <f>+'Detalle Plan de Adquisiciones'!F128</f>
        <v>INTERVENTORÍA TÉCNICA, ADMINISTRATIVA, FINANCIERA Y AMBIENTAL AL CONTRATO CUYO OBJETO ES: TRANSVERSAL 5 DESDE LA DIAG. 14 HASTA LA DIAG. 20 (CALLE P/PAL DEL BARRIO LA GRANJA)</v>
      </c>
      <c r="F318" s="316" t="s">
        <v>410</v>
      </c>
      <c r="G318" s="383">
        <v>0</v>
      </c>
      <c r="H318" s="383">
        <v>0</v>
      </c>
      <c r="I318" s="383">
        <v>0</v>
      </c>
      <c r="J318" s="383">
        <v>0</v>
      </c>
      <c r="K318" s="383">
        <v>0</v>
      </c>
      <c r="L318" s="383">
        <v>0</v>
      </c>
      <c r="M318" s="383">
        <v>0</v>
      </c>
      <c r="N318" s="383">
        <v>0</v>
      </c>
      <c r="O318" s="383">
        <v>0</v>
      </c>
      <c r="P318" s="383">
        <v>0</v>
      </c>
      <c r="Q318" s="383">
        <v>0</v>
      </c>
      <c r="R318" s="383">
        <v>0</v>
      </c>
      <c r="S318" s="383">
        <v>0</v>
      </c>
      <c r="T318" s="383">
        <v>0</v>
      </c>
      <c r="U318" s="383">
        <v>0</v>
      </c>
      <c r="V318" s="383">
        <v>0</v>
      </c>
      <c r="W318" s="383">
        <v>0</v>
      </c>
      <c r="X318" s="383">
        <v>0</v>
      </c>
      <c r="Y318" s="383">
        <v>0</v>
      </c>
      <c r="Z318" s="383">
        <v>0</v>
      </c>
      <c r="AA318" s="383">
        <v>0</v>
      </c>
      <c r="AB318" s="383">
        <v>0</v>
      </c>
      <c r="AC318" s="383">
        <v>0</v>
      </c>
      <c r="AD318" s="383">
        <v>0</v>
      </c>
      <c r="AE318" s="383">
        <v>0</v>
      </c>
      <c r="AF318" s="383">
        <v>0</v>
      </c>
      <c r="AG318" s="383">
        <v>0</v>
      </c>
      <c r="AH318" s="383">
        <v>0</v>
      </c>
      <c r="AI318" s="383">
        <v>0</v>
      </c>
      <c r="AJ318" s="383">
        <v>0</v>
      </c>
      <c r="AK318" s="383">
        <v>0</v>
      </c>
      <c r="AL318" s="383">
        <v>0</v>
      </c>
      <c r="AM318" s="383">
        <v>0</v>
      </c>
      <c r="AN318" s="383">
        <v>0</v>
      </c>
      <c r="AO318" s="383">
        <v>0</v>
      </c>
      <c r="AP318" s="383">
        <v>0</v>
      </c>
      <c r="AQ318" s="383">
        <v>0</v>
      </c>
      <c r="AR318" s="383">
        <v>0</v>
      </c>
      <c r="AS318" s="383">
        <v>0</v>
      </c>
      <c r="AT318" s="383">
        <v>0</v>
      </c>
      <c r="AU318" s="383">
        <v>0</v>
      </c>
      <c r="AV318" s="383">
        <v>0</v>
      </c>
      <c r="AW318" s="383">
        <v>0</v>
      </c>
      <c r="AX318" s="383">
        <v>0</v>
      </c>
      <c r="AY318" s="383">
        <v>0</v>
      </c>
      <c r="AZ318" s="383">
        <v>0</v>
      </c>
      <c r="BA318" s="383">
        <v>0</v>
      </c>
      <c r="BB318" s="383">
        <v>0</v>
      </c>
      <c r="BC318" s="383">
        <v>0</v>
      </c>
      <c r="BD318" s="383">
        <v>0</v>
      </c>
      <c r="BE318" s="383">
        <v>0</v>
      </c>
      <c r="BF318" s="383">
        <v>0</v>
      </c>
      <c r="BG318" s="383">
        <v>0</v>
      </c>
      <c r="BH318" s="383">
        <v>0</v>
      </c>
      <c r="BI318" s="383">
        <v>0</v>
      </c>
      <c r="BJ318" s="383">
        <v>0</v>
      </c>
      <c r="BK318" s="383">
        <v>0</v>
      </c>
      <c r="BL318" s="383">
        <v>0</v>
      </c>
      <c r="BM318" s="383">
        <v>0</v>
      </c>
      <c r="BN318" s="383">
        <v>0</v>
      </c>
      <c r="BO318" s="383">
        <v>0</v>
      </c>
      <c r="BP318" s="383">
        <v>0</v>
      </c>
      <c r="BQ318" s="383">
        <v>0</v>
      </c>
      <c r="BR318" s="383">
        <v>0</v>
      </c>
      <c r="BS318" s="383">
        <v>0</v>
      </c>
      <c r="BT318" s="383">
        <v>0</v>
      </c>
      <c r="BU318" s="383">
        <v>0</v>
      </c>
      <c r="BV318" s="383">
        <v>0</v>
      </c>
      <c r="BW318" s="383">
        <v>0</v>
      </c>
      <c r="BX318" s="383">
        <v>0</v>
      </c>
      <c r="BY318" s="383">
        <v>0</v>
      </c>
      <c r="BZ318" s="383">
        <v>0</v>
      </c>
      <c r="CA318" s="383">
        <v>0</v>
      </c>
      <c r="CB318" s="383">
        <v>0</v>
      </c>
      <c r="CC318" s="383">
        <v>0</v>
      </c>
      <c r="CD318" s="383">
        <v>0</v>
      </c>
      <c r="CE318" s="383">
        <v>0</v>
      </c>
      <c r="CF318" s="383">
        <v>0</v>
      </c>
      <c r="CG318" s="383">
        <v>0</v>
      </c>
      <c r="CH318" s="383">
        <v>0</v>
      </c>
      <c r="CI318" s="383">
        <v>0</v>
      </c>
      <c r="CJ318" s="383">
        <v>0</v>
      </c>
      <c r="CK318" s="383">
        <v>0</v>
      </c>
      <c r="CL318" s="383">
        <v>0</v>
      </c>
      <c r="CM318" s="383"/>
      <c r="CN318" s="383"/>
      <c r="CO318" s="383"/>
      <c r="CP318" s="383"/>
      <c r="CQ318" s="383"/>
      <c r="CR318" s="383"/>
      <c r="CS318" s="383"/>
      <c r="CT318" s="383"/>
      <c r="CU318" s="383"/>
      <c r="CV318" s="383"/>
      <c r="CW318" s="383"/>
      <c r="CX318" s="383"/>
      <c r="CY318" s="383"/>
      <c r="CZ318" s="383"/>
      <c r="DA318" s="383"/>
      <c r="DB318" s="383"/>
      <c r="DC318" s="383"/>
      <c r="DD318" s="383"/>
      <c r="DE318" s="383"/>
      <c r="DF318" s="383"/>
      <c r="DG318" s="383"/>
      <c r="DH318" s="383"/>
      <c r="DI318" s="383"/>
      <c r="DJ318" s="383"/>
      <c r="DK318" s="383"/>
      <c r="DL318" s="383"/>
      <c r="DM318" s="383"/>
      <c r="DN318" s="383"/>
      <c r="DO318" s="383"/>
      <c r="DP318" s="383"/>
      <c r="DQ318" s="383"/>
      <c r="DR318" s="383"/>
      <c r="DS318" s="383"/>
      <c r="DT318" s="383"/>
      <c r="DU318" s="383"/>
      <c r="DV318" s="383"/>
      <c r="DW318" s="556">
        <f t="shared" si="37"/>
        <v>0</v>
      </c>
      <c r="DX318" s="869">
        <f>DW318+DW319+DW320</f>
        <v>457.35656704000002</v>
      </c>
      <c r="DY318" s="704">
        <f>+DX318*1000000</f>
        <v>457356567.04000002</v>
      </c>
      <c r="DZ318" s="870">
        <f>+DY318-D318</f>
        <v>0</v>
      </c>
      <c r="EA318" s="874" t="str">
        <f>VLOOKUP(POA!$B318,INTERPLAN,28,0)</f>
        <v>N/A</v>
      </c>
      <c r="EB318" s="860" t="e">
        <f>+EDATE(EA318,C319)</f>
        <v>#VALUE!</v>
      </c>
      <c r="EC318" s="860" t="e">
        <f>EB318+30</f>
        <v>#VALUE!</v>
      </c>
      <c r="ED318" s="860" t="e">
        <f>CONCATENATE(MONTH(EA318),"-",YEAR(EA318))</f>
        <v>#VALUE!</v>
      </c>
      <c r="EE318" s="860" t="e">
        <f>CONCATENATE(MONTH(EB318),"-",YEAR(EB318))</f>
        <v>#VALUE!</v>
      </c>
      <c r="EF318" s="862" t="e">
        <f>CONCATENATE(MONTH(EC318),"-",YEAR(EC318))</f>
        <v>#VALUE!</v>
      </c>
      <c r="EG318" s="1105" t="e">
        <f>+YEAR(EA318)</f>
        <v>#VALUE!</v>
      </c>
      <c r="EI318" s="858">
        <f>+DW318+DW319+DW320</f>
        <v>457.35656704000002</v>
      </c>
      <c r="EJ318" s="877">
        <f>+D318/1000000-EI318</f>
        <v>0</v>
      </c>
      <c r="ER318" s="497"/>
    </row>
    <row r="319" spans="1:148" s="278" customFormat="1" outlineLevel="2" x14ac:dyDescent="0.2">
      <c r="A319" s="883"/>
      <c r="B319" s="886"/>
      <c r="C319" s="903"/>
      <c r="D319" s="864"/>
      <c r="E319" s="867"/>
      <c r="F319" s="311" t="s">
        <v>210</v>
      </c>
      <c r="G319" s="363">
        <v>0</v>
      </c>
      <c r="H319" s="363">
        <v>0</v>
      </c>
      <c r="I319" s="363">
        <v>0</v>
      </c>
      <c r="J319" s="363">
        <v>0</v>
      </c>
      <c r="K319" s="363">
        <v>0</v>
      </c>
      <c r="L319" s="363">
        <v>0</v>
      </c>
      <c r="M319" s="363">
        <v>0</v>
      </c>
      <c r="N319" s="363">
        <v>0</v>
      </c>
      <c r="O319" s="363">
        <v>0</v>
      </c>
      <c r="P319" s="363">
        <v>0</v>
      </c>
      <c r="Q319" s="363">
        <v>0</v>
      </c>
      <c r="R319" s="363">
        <v>0</v>
      </c>
      <c r="S319" s="363">
        <v>0</v>
      </c>
      <c r="T319" s="363">
        <v>0</v>
      </c>
      <c r="U319" s="363">
        <v>0</v>
      </c>
      <c r="V319" s="363">
        <v>0</v>
      </c>
      <c r="W319" s="363">
        <v>0</v>
      </c>
      <c r="X319" s="363">
        <v>0</v>
      </c>
      <c r="Y319" s="363">
        <v>0</v>
      </c>
      <c r="Z319" s="363">
        <v>0</v>
      </c>
      <c r="AA319" s="363">
        <v>0</v>
      </c>
      <c r="AB319" s="363">
        <v>0</v>
      </c>
      <c r="AC319" s="363">
        <v>0</v>
      </c>
      <c r="AD319" s="363">
        <v>0</v>
      </c>
      <c r="AE319" s="363">
        <v>0</v>
      </c>
      <c r="AF319" s="363">
        <v>0</v>
      </c>
      <c r="AG319" s="363">
        <v>0</v>
      </c>
      <c r="AH319" s="363">
        <v>0</v>
      </c>
      <c r="AI319" s="363">
        <v>0</v>
      </c>
      <c r="AJ319" s="363">
        <v>0</v>
      </c>
      <c r="AK319" s="363">
        <v>0</v>
      </c>
      <c r="AL319" s="363">
        <v>0</v>
      </c>
      <c r="AM319" s="363">
        <v>0</v>
      </c>
      <c r="AN319" s="363">
        <v>0</v>
      </c>
      <c r="AO319" s="363">
        <v>0</v>
      </c>
      <c r="AP319" s="363">
        <v>0</v>
      </c>
      <c r="AQ319" s="363">
        <v>0</v>
      </c>
      <c r="AR319" s="363">
        <v>0</v>
      </c>
      <c r="AS319" s="363">
        <v>0</v>
      </c>
      <c r="AT319" s="363">
        <v>0</v>
      </c>
      <c r="AU319" s="363">
        <v>0</v>
      </c>
      <c r="AV319" s="363">
        <v>0</v>
      </c>
      <c r="AW319" s="363">
        <v>0</v>
      </c>
      <c r="AX319" s="363">
        <v>0</v>
      </c>
      <c r="AY319" s="363">
        <v>0</v>
      </c>
      <c r="AZ319" s="363">
        <v>0</v>
      </c>
      <c r="BA319" s="363">
        <v>0</v>
      </c>
      <c r="BB319" s="363">
        <v>0</v>
      </c>
      <c r="BC319" s="363">
        <v>0</v>
      </c>
      <c r="BD319" s="363">
        <v>0</v>
      </c>
      <c r="BE319" s="363">
        <v>0</v>
      </c>
      <c r="BF319" s="363">
        <v>0</v>
      </c>
      <c r="BG319" s="363">
        <v>0</v>
      </c>
      <c r="BH319" s="363">
        <v>0</v>
      </c>
      <c r="BI319" s="363">
        <v>0</v>
      </c>
      <c r="BJ319" s="363">
        <v>0</v>
      </c>
      <c r="BK319" s="363">
        <v>0</v>
      </c>
      <c r="BL319" s="363">
        <v>0</v>
      </c>
      <c r="BM319" s="363">
        <v>0</v>
      </c>
      <c r="BN319" s="363">
        <v>0</v>
      </c>
      <c r="BO319" s="363">
        <v>0</v>
      </c>
      <c r="BP319" s="363">
        <v>0</v>
      </c>
      <c r="BQ319" s="363">
        <v>0</v>
      </c>
      <c r="BR319" s="363">
        <v>0</v>
      </c>
      <c r="BS319" s="363">
        <v>0</v>
      </c>
      <c r="BT319" s="363">
        <v>0</v>
      </c>
      <c r="BU319" s="363">
        <v>0</v>
      </c>
      <c r="BV319" s="363">
        <v>0</v>
      </c>
      <c r="BW319" s="363">
        <v>0</v>
      </c>
      <c r="BX319" s="363">
        <v>0</v>
      </c>
      <c r="BY319" s="363">
        <v>0</v>
      </c>
      <c r="BZ319" s="363">
        <v>0</v>
      </c>
      <c r="CA319" s="363">
        <v>0</v>
      </c>
      <c r="CB319" s="363">
        <v>0</v>
      </c>
      <c r="CC319" s="363">
        <v>0</v>
      </c>
      <c r="CD319" s="363">
        <v>0</v>
      </c>
      <c r="CE319" s="363">
        <v>0</v>
      </c>
      <c r="CF319" s="363">
        <v>0</v>
      </c>
      <c r="CG319" s="363">
        <v>0</v>
      </c>
      <c r="CH319" s="363">
        <v>0</v>
      </c>
      <c r="CI319" s="363">
        <v>0</v>
      </c>
      <c r="CJ319" s="363">
        <v>0</v>
      </c>
      <c r="CK319" s="363">
        <v>0</v>
      </c>
      <c r="CL319" s="363">
        <v>0</v>
      </c>
      <c r="CM319" s="363"/>
      <c r="CN319" s="363"/>
      <c r="CO319" s="363"/>
      <c r="CP319" s="363"/>
      <c r="CQ319" s="363"/>
      <c r="CR319" s="363"/>
      <c r="CS319" s="363"/>
      <c r="CT319" s="363"/>
      <c r="CU319" s="363"/>
      <c r="CV319" s="363"/>
      <c r="CW319" s="363"/>
      <c r="CX319" s="363"/>
      <c r="CY319" s="363"/>
      <c r="CZ319" s="363"/>
      <c r="DA319" s="363"/>
      <c r="DB319" s="363"/>
      <c r="DC319" s="363"/>
      <c r="DD319" s="363"/>
      <c r="DE319" s="363"/>
      <c r="DF319" s="363"/>
      <c r="DG319" s="363"/>
      <c r="DH319" s="363"/>
      <c r="DI319" s="363"/>
      <c r="DJ319" s="363"/>
      <c r="DK319" s="363"/>
      <c r="DL319" s="363"/>
      <c r="DM319" s="363"/>
      <c r="DN319" s="363"/>
      <c r="DO319" s="363"/>
      <c r="DP319" s="363"/>
      <c r="DQ319" s="363"/>
      <c r="DR319" s="363"/>
      <c r="DS319" s="363"/>
      <c r="DT319" s="363"/>
      <c r="DU319" s="363"/>
      <c r="DV319" s="363"/>
      <c r="DW319" s="544">
        <f t="shared" si="37"/>
        <v>0</v>
      </c>
      <c r="DX319" s="890"/>
      <c r="DY319" s="705"/>
      <c r="DZ319" s="871"/>
      <c r="EA319" s="895"/>
      <c r="EB319" s="878"/>
      <c r="EC319" s="878"/>
      <c r="ED319" s="878"/>
      <c r="EE319" s="878"/>
      <c r="EF319" s="880"/>
      <c r="EG319" s="1106"/>
      <c r="EI319" s="858"/>
      <c r="EJ319" s="877"/>
      <c r="ER319" s="497"/>
    </row>
    <row r="320" spans="1:148" s="278" customFormat="1" ht="12.75" outlineLevel="2" thickBot="1" x14ac:dyDescent="0.25">
      <c r="A320" s="884"/>
      <c r="B320" s="908"/>
      <c r="C320" s="909"/>
      <c r="D320" s="876"/>
      <c r="E320" s="875"/>
      <c r="F320" s="313" t="s">
        <v>211</v>
      </c>
      <c r="G320" s="387">
        <v>439.73849304000004</v>
      </c>
      <c r="H320" s="387">
        <v>17.618073999999979</v>
      </c>
      <c r="I320" s="387">
        <v>0</v>
      </c>
      <c r="J320" s="387">
        <v>0</v>
      </c>
      <c r="K320" s="387">
        <v>0</v>
      </c>
      <c r="L320" s="387">
        <v>0</v>
      </c>
      <c r="M320" s="387">
        <v>0</v>
      </c>
      <c r="N320" s="387">
        <v>0</v>
      </c>
      <c r="O320" s="387">
        <v>0</v>
      </c>
      <c r="P320" s="387">
        <v>0</v>
      </c>
      <c r="Q320" s="387">
        <v>0</v>
      </c>
      <c r="R320" s="387">
        <v>0</v>
      </c>
      <c r="S320" s="387">
        <v>0</v>
      </c>
      <c r="T320" s="387">
        <v>0</v>
      </c>
      <c r="U320" s="387">
        <v>0</v>
      </c>
      <c r="V320" s="387">
        <v>0</v>
      </c>
      <c r="W320" s="387">
        <v>0</v>
      </c>
      <c r="X320" s="387">
        <v>0</v>
      </c>
      <c r="Y320" s="387">
        <v>0</v>
      </c>
      <c r="Z320" s="387">
        <v>0</v>
      </c>
      <c r="AA320" s="387">
        <v>0</v>
      </c>
      <c r="AB320" s="387">
        <v>0</v>
      </c>
      <c r="AC320" s="387">
        <v>0</v>
      </c>
      <c r="AD320" s="387">
        <v>0</v>
      </c>
      <c r="AE320" s="387">
        <v>0</v>
      </c>
      <c r="AF320" s="387">
        <v>0</v>
      </c>
      <c r="AG320" s="387">
        <v>0</v>
      </c>
      <c r="AH320" s="387">
        <v>0</v>
      </c>
      <c r="AI320" s="387">
        <v>0</v>
      </c>
      <c r="AJ320" s="387">
        <v>0</v>
      </c>
      <c r="AK320" s="387">
        <v>0</v>
      </c>
      <c r="AL320" s="387">
        <v>0</v>
      </c>
      <c r="AM320" s="387">
        <v>0</v>
      </c>
      <c r="AN320" s="387">
        <v>0</v>
      </c>
      <c r="AO320" s="387">
        <v>0</v>
      </c>
      <c r="AP320" s="387">
        <v>0</v>
      </c>
      <c r="AQ320" s="387">
        <v>0</v>
      </c>
      <c r="AR320" s="387">
        <v>0</v>
      </c>
      <c r="AS320" s="387">
        <v>0</v>
      </c>
      <c r="AT320" s="387">
        <v>0</v>
      </c>
      <c r="AU320" s="387">
        <v>0</v>
      </c>
      <c r="AV320" s="387">
        <v>0</v>
      </c>
      <c r="AW320" s="387">
        <v>0</v>
      </c>
      <c r="AX320" s="387">
        <v>0</v>
      </c>
      <c r="AY320" s="387">
        <v>0</v>
      </c>
      <c r="AZ320" s="387">
        <v>0</v>
      </c>
      <c r="BA320" s="387">
        <v>0</v>
      </c>
      <c r="BB320" s="387">
        <v>0</v>
      </c>
      <c r="BC320" s="363">
        <v>0</v>
      </c>
      <c r="BD320" s="363">
        <v>0</v>
      </c>
      <c r="BE320" s="363">
        <v>0</v>
      </c>
      <c r="BF320" s="363">
        <v>0</v>
      </c>
      <c r="BG320" s="363">
        <v>0</v>
      </c>
      <c r="BH320" s="363">
        <v>0</v>
      </c>
      <c r="BI320" s="363">
        <v>0</v>
      </c>
      <c r="BJ320" s="363">
        <v>0</v>
      </c>
      <c r="BK320" s="363">
        <v>0</v>
      </c>
      <c r="BL320" s="363">
        <v>0</v>
      </c>
      <c r="BM320" s="363">
        <v>0</v>
      </c>
      <c r="BN320" s="363">
        <v>0</v>
      </c>
      <c r="BO320" s="363">
        <v>0</v>
      </c>
      <c r="BP320" s="363">
        <v>0</v>
      </c>
      <c r="BQ320" s="363">
        <v>0</v>
      </c>
      <c r="BR320" s="363">
        <v>0</v>
      </c>
      <c r="BS320" s="363">
        <v>0</v>
      </c>
      <c r="BT320" s="363">
        <v>0</v>
      </c>
      <c r="BU320" s="363">
        <v>0</v>
      </c>
      <c r="BV320" s="363">
        <v>0</v>
      </c>
      <c r="BW320" s="363">
        <v>0</v>
      </c>
      <c r="BX320" s="363">
        <v>0</v>
      </c>
      <c r="BY320" s="363">
        <v>0</v>
      </c>
      <c r="BZ320" s="363">
        <v>0</v>
      </c>
      <c r="CA320" s="363">
        <v>0</v>
      </c>
      <c r="CB320" s="363">
        <v>0</v>
      </c>
      <c r="CC320" s="363">
        <v>0</v>
      </c>
      <c r="CD320" s="363">
        <v>0</v>
      </c>
      <c r="CE320" s="363">
        <v>0</v>
      </c>
      <c r="CF320" s="363">
        <v>0</v>
      </c>
      <c r="CG320" s="363">
        <v>0</v>
      </c>
      <c r="CH320" s="363">
        <v>0</v>
      </c>
      <c r="CI320" s="363">
        <v>0</v>
      </c>
      <c r="CJ320" s="363">
        <v>0</v>
      </c>
      <c r="CK320" s="363">
        <v>0</v>
      </c>
      <c r="CL320" s="363">
        <v>0</v>
      </c>
      <c r="CM320" s="363"/>
      <c r="CN320" s="363"/>
      <c r="CO320" s="363"/>
      <c r="CP320" s="363"/>
      <c r="CQ320" s="363"/>
      <c r="CR320" s="363"/>
      <c r="CS320" s="363"/>
      <c r="CT320" s="363"/>
      <c r="CU320" s="363"/>
      <c r="CV320" s="363"/>
      <c r="CW320" s="363"/>
      <c r="CX320" s="363"/>
      <c r="CY320" s="363"/>
      <c r="CZ320" s="363"/>
      <c r="DA320" s="363"/>
      <c r="DB320" s="363"/>
      <c r="DC320" s="363"/>
      <c r="DD320" s="363"/>
      <c r="DE320" s="363"/>
      <c r="DF320" s="363"/>
      <c r="DG320" s="363"/>
      <c r="DH320" s="363"/>
      <c r="DI320" s="363"/>
      <c r="DJ320" s="363"/>
      <c r="DK320" s="363"/>
      <c r="DL320" s="363"/>
      <c r="DM320" s="363"/>
      <c r="DN320" s="363"/>
      <c r="DO320" s="363"/>
      <c r="DP320" s="363"/>
      <c r="DQ320" s="363"/>
      <c r="DR320" s="363"/>
      <c r="DS320" s="363"/>
      <c r="DT320" s="363"/>
      <c r="DU320" s="363"/>
      <c r="DV320" s="363"/>
      <c r="DW320" s="545">
        <f t="shared" si="37"/>
        <v>457.35656704000002</v>
      </c>
      <c r="DX320" s="891"/>
      <c r="DY320" s="706"/>
      <c r="DZ320" s="872"/>
      <c r="EA320" s="896"/>
      <c r="EB320" s="879"/>
      <c r="EC320" s="879"/>
      <c r="ED320" s="879"/>
      <c r="EE320" s="879"/>
      <c r="EF320" s="881"/>
      <c r="EG320" s="1107"/>
      <c r="EI320" s="858"/>
      <c r="EJ320" s="877"/>
      <c r="ER320" s="497"/>
    </row>
    <row r="321" spans="1:148" s="278" customFormat="1" ht="24" outlineLevel="2" x14ac:dyDescent="0.2">
      <c r="A321" s="882" t="s">
        <v>557</v>
      </c>
      <c r="B321" s="885" t="s">
        <v>333</v>
      </c>
      <c r="C321" s="911"/>
      <c r="D321" s="888">
        <f>+IFERROR(VLOOKUP(B321,'Detalle Plan de Adquisiciones'!$G$53:$L$153,6,FALSE),0)</f>
        <v>279999640</v>
      </c>
      <c r="E321" s="889" t="str">
        <f>+'Detalle Plan de Adquisiciones'!F129</f>
        <v>INTERVENTORÍA TÉCNICA, ADMINISTRATIVA, FINANCIERA Y AMBIENTAL AL CONTRATO CUYO OBJETO ES: PRIMERA ETAPA PARA LA RECONSTRUCCIÓN Y MEJORAMIENTO DE LA CALLE 27 ENTRE LA AVENIDA PRIMERA Y LA AVENIDA CIRCUNVALAR</v>
      </c>
      <c r="F321" s="312" t="s">
        <v>410</v>
      </c>
      <c r="G321" s="383">
        <v>0</v>
      </c>
      <c r="H321" s="383">
        <v>0</v>
      </c>
      <c r="I321" s="383">
        <v>0</v>
      </c>
      <c r="J321" s="383">
        <v>0</v>
      </c>
      <c r="K321" s="383">
        <v>0</v>
      </c>
      <c r="L321" s="383">
        <v>0</v>
      </c>
      <c r="M321" s="383">
        <v>0</v>
      </c>
      <c r="N321" s="383">
        <v>0</v>
      </c>
      <c r="O321" s="383">
        <v>0</v>
      </c>
      <c r="P321" s="383">
        <v>0</v>
      </c>
      <c r="Q321" s="383">
        <v>0</v>
      </c>
      <c r="R321" s="383">
        <v>0</v>
      </c>
      <c r="S321" s="383">
        <v>0</v>
      </c>
      <c r="T321" s="383">
        <v>0</v>
      </c>
      <c r="U321" s="383">
        <v>0</v>
      </c>
      <c r="V321" s="383">
        <v>0</v>
      </c>
      <c r="W321" s="383">
        <v>0</v>
      </c>
      <c r="X321" s="383">
        <v>0</v>
      </c>
      <c r="Y321" s="383">
        <v>0</v>
      </c>
      <c r="Z321" s="383">
        <v>0</v>
      </c>
      <c r="AA321" s="383">
        <v>0</v>
      </c>
      <c r="AB321" s="383">
        <v>0</v>
      </c>
      <c r="AC321" s="383">
        <v>0</v>
      </c>
      <c r="AD321" s="383">
        <v>0</v>
      </c>
      <c r="AE321" s="383">
        <v>0</v>
      </c>
      <c r="AF321" s="383">
        <v>0</v>
      </c>
      <c r="AG321" s="383">
        <v>0</v>
      </c>
      <c r="AH321" s="383">
        <v>0</v>
      </c>
      <c r="AI321" s="383">
        <v>0</v>
      </c>
      <c r="AJ321" s="383">
        <v>0</v>
      </c>
      <c r="AK321" s="383">
        <v>0</v>
      </c>
      <c r="AL321" s="383">
        <v>0</v>
      </c>
      <c r="AM321" s="383">
        <v>0</v>
      </c>
      <c r="AN321" s="383">
        <v>0</v>
      </c>
      <c r="AO321" s="383">
        <v>0</v>
      </c>
      <c r="AP321" s="383">
        <v>0</v>
      </c>
      <c r="AQ321" s="383">
        <v>0</v>
      </c>
      <c r="AR321" s="383">
        <v>0</v>
      </c>
      <c r="AS321" s="383">
        <v>0</v>
      </c>
      <c r="AT321" s="383">
        <v>0</v>
      </c>
      <c r="AU321" s="383">
        <v>0</v>
      </c>
      <c r="AV321" s="383">
        <v>0</v>
      </c>
      <c r="AW321" s="383">
        <v>0</v>
      </c>
      <c r="AX321" s="383">
        <v>0</v>
      </c>
      <c r="AY321" s="383">
        <v>0</v>
      </c>
      <c r="AZ321" s="383">
        <v>0</v>
      </c>
      <c r="BA321" s="383">
        <v>0</v>
      </c>
      <c r="BB321" s="383">
        <v>0</v>
      </c>
      <c r="BC321" s="363">
        <v>0</v>
      </c>
      <c r="BD321" s="363">
        <v>0</v>
      </c>
      <c r="BE321" s="363">
        <v>0</v>
      </c>
      <c r="BF321" s="363">
        <v>0</v>
      </c>
      <c r="BG321" s="363">
        <v>0</v>
      </c>
      <c r="BH321" s="363">
        <v>0</v>
      </c>
      <c r="BI321" s="363">
        <v>0</v>
      </c>
      <c r="BJ321" s="363">
        <v>0</v>
      </c>
      <c r="BK321" s="363">
        <v>0</v>
      </c>
      <c r="BL321" s="363">
        <v>0</v>
      </c>
      <c r="BM321" s="363">
        <v>0</v>
      </c>
      <c r="BN321" s="363">
        <v>0</v>
      </c>
      <c r="BO321" s="363">
        <v>0</v>
      </c>
      <c r="BP321" s="363">
        <v>0</v>
      </c>
      <c r="BQ321" s="363">
        <v>0</v>
      </c>
      <c r="BR321" s="363">
        <v>0</v>
      </c>
      <c r="BS321" s="363">
        <v>0</v>
      </c>
      <c r="BT321" s="363">
        <v>0</v>
      </c>
      <c r="BU321" s="363">
        <v>0</v>
      </c>
      <c r="BV321" s="363">
        <v>0</v>
      </c>
      <c r="BW321" s="363">
        <v>0</v>
      </c>
      <c r="BX321" s="363">
        <v>0</v>
      </c>
      <c r="BY321" s="363">
        <v>0</v>
      </c>
      <c r="BZ321" s="363">
        <v>0</v>
      </c>
      <c r="CA321" s="363">
        <v>0</v>
      </c>
      <c r="CB321" s="363">
        <v>0</v>
      </c>
      <c r="CC321" s="363">
        <v>0</v>
      </c>
      <c r="CD321" s="363">
        <v>0</v>
      </c>
      <c r="CE321" s="363">
        <v>0</v>
      </c>
      <c r="CF321" s="363">
        <v>0</v>
      </c>
      <c r="CG321" s="363">
        <v>0</v>
      </c>
      <c r="CH321" s="363">
        <v>0</v>
      </c>
      <c r="CI321" s="363">
        <v>0</v>
      </c>
      <c r="CJ321" s="363">
        <v>0</v>
      </c>
      <c r="CK321" s="363">
        <v>0</v>
      </c>
      <c r="CL321" s="363">
        <v>0</v>
      </c>
      <c r="CM321" s="363"/>
      <c r="CN321" s="363"/>
      <c r="CO321" s="363"/>
      <c r="CP321" s="363"/>
      <c r="CQ321" s="363"/>
      <c r="CR321" s="363"/>
      <c r="CS321" s="363"/>
      <c r="CT321" s="363"/>
      <c r="CU321" s="363"/>
      <c r="CV321" s="363"/>
      <c r="CW321" s="363"/>
      <c r="CX321" s="363"/>
      <c r="CY321" s="363"/>
      <c r="CZ321" s="363"/>
      <c r="DA321" s="363"/>
      <c r="DB321" s="363"/>
      <c r="DC321" s="363"/>
      <c r="DD321" s="363"/>
      <c r="DE321" s="363"/>
      <c r="DF321" s="363"/>
      <c r="DG321" s="363"/>
      <c r="DH321" s="363"/>
      <c r="DI321" s="363"/>
      <c r="DJ321" s="363"/>
      <c r="DK321" s="363"/>
      <c r="DL321" s="363"/>
      <c r="DM321" s="363"/>
      <c r="DN321" s="363"/>
      <c r="DO321" s="363"/>
      <c r="DP321" s="363"/>
      <c r="DQ321" s="363"/>
      <c r="DR321" s="363"/>
      <c r="DS321" s="363"/>
      <c r="DT321" s="363"/>
      <c r="DU321" s="363"/>
      <c r="DV321" s="363"/>
      <c r="DW321" s="543">
        <f t="shared" si="37"/>
        <v>0</v>
      </c>
      <c r="DX321" s="869">
        <f>DW321+DW322+DW323</f>
        <v>279.99964</v>
      </c>
      <c r="DY321" s="704">
        <f>+DX321*1000000</f>
        <v>279999640</v>
      </c>
      <c r="DZ321" s="870">
        <f>+DY321-D321</f>
        <v>0</v>
      </c>
      <c r="EA321" s="874" t="str">
        <f>VLOOKUP(POA!$B321,INTERPLAN,28,0)</f>
        <v>N/A</v>
      </c>
      <c r="EB321" s="860" t="e">
        <f>+EDATE(EA321,C322)</f>
        <v>#VALUE!</v>
      </c>
      <c r="EC321" s="860" t="e">
        <f>EB321+30</f>
        <v>#VALUE!</v>
      </c>
      <c r="ED321" s="860" t="e">
        <f>CONCATENATE(MONTH(EA321),"-",YEAR(EA321))</f>
        <v>#VALUE!</v>
      </c>
      <c r="EE321" s="860" t="e">
        <f>CONCATENATE(MONTH(EB321),"-",YEAR(EB321))</f>
        <v>#VALUE!</v>
      </c>
      <c r="EF321" s="862" t="e">
        <f>CONCATENATE(MONTH(EC321),"-",YEAR(EC321))</f>
        <v>#VALUE!</v>
      </c>
      <c r="EG321" s="1105" t="e">
        <f>+YEAR(EA321)</f>
        <v>#VALUE!</v>
      </c>
      <c r="EI321" s="858">
        <f>+DW321+DW322+DW323</f>
        <v>279.99964</v>
      </c>
      <c r="EJ321" s="877">
        <f>+D321/1000000-EI321</f>
        <v>0</v>
      </c>
      <c r="ER321" s="497"/>
    </row>
    <row r="322" spans="1:148" s="278" customFormat="1" outlineLevel="2" x14ac:dyDescent="0.2">
      <c r="A322" s="883"/>
      <c r="B322" s="886"/>
      <c r="C322" s="903"/>
      <c r="D322" s="864"/>
      <c r="E322" s="867"/>
      <c r="F322" s="311" t="s">
        <v>210</v>
      </c>
      <c r="G322" s="363">
        <v>0</v>
      </c>
      <c r="H322" s="363">
        <v>0</v>
      </c>
      <c r="I322" s="363">
        <v>0</v>
      </c>
      <c r="J322" s="363">
        <v>0</v>
      </c>
      <c r="K322" s="363">
        <v>0</v>
      </c>
      <c r="L322" s="363">
        <v>0</v>
      </c>
      <c r="M322" s="363">
        <v>0</v>
      </c>
      <c r="N322" s="363">
        <v>0</v>
      </c>
      <c r="O322" s="363">
        <v>0</v>
      </c>
      <c r="P322" s="363">
        <v>0</v>
      </c>
      <c r="Q322" s="363">
        <v>0</v>
      </c>
      <c r="R322" s="363">
        <v>0</v>
      </c>
      <c r="S322" s="363">
        <v>0</v>
      </c>
      <c r="T322" s="363">
        <v>0</v>
      </c>
      <c r="U322" s="363">
        <v>0</v>
      </c>
      <c r="V322" s="363">
        <v>0</v>
      </c>
      <c r="W322" s="363">
        <v>0</v>
      </c>
      <c r="X322" s="363">
        <v>0</v>
      </c>
      <c r="Y322" s="363">
        <v>0</v>
      </c>
      <c r="Z322" s="363">
        <v>0</v>
      </c>
      <c r="AA322" s="363">
        <v>0</v>
      </c>
      <c r="AB322" s="363">
        <v>0</v>
      </c>
      <c r="AC322" s="363">
        <v>0</v>
      </c>
      <c r="AD322" s="363">
        <v>0</v>
      </c>
      <c r="AE322" s="363">
        <v>0</v>
      </c>
      <c r="AF322" s="363">
        <v>0</v>
      </c>
      <c r="AG322" s="363">
        <v>0</v>
      </c>
      <c r="AH322" s="363">
        <v>0</v>
      </c>
      <c r="AI322" s="363">
        <v>0</v>
      </c>
      <c r="AJ322" s="363">
        <v>0</v>
      </c>
      <c r="AK322" s="363">
        <v>0</v>
      </c>
      <c r="AL322" s="363">
        <v>0</v>
      </c>
      <c r="AM322" s="363">
        <v>0</v>
      </c>
      <c r="AN322" s="363">
        <v>0</v>
      </c>
      <c r="AO322" s="363">
        <v>0</v>
      </c>
      <c r="AP322" s="363">
        <v>0</v>
      </c>
      <c r="AQ322" s="363">
        <v>0</v>
      </c>
      <c r="AR322" s="363">
        <v>0</v>
      </c>
      <c r="AS322" s="363">
        <v>0</v>
      </c>
      <c r="AT322" s="363">
        <v>0</v>
      </c>
      <c r="AU322" s="363">
        <v>0</v>
      </c>
      <c r="AV322" s="363">
        <v>0</v>
      </c>
      <c r="AW322" s="363">
        <v>0</v>
      </c>
      <c r="AX322" s="363">
        <v>0</v>
      </c>
      <c r="AY322" s="363">
        <v>0</v>
      </c>
      <c r="AZ322" s="363">
        <v>0</v>
      </c>
      <c r="BA322" s="363">
        <v>0</v>
      </c>
      <c r="BB322" s="363">
        <v>0</v>
      </c>
      <c r="BC322" s="363">
        <v>0</v>
      </c>
      <c r="BD322" s="363">
        <v>0</v>
      </c>
      <c r="BE322" s="363">
        <v>0</v>
      </c>
      <c r="BF322" s="363">
        <v>0</v>
      </c>
      <c r="BG322" s="363">
        <v>0</v>
      </c>
      <c r="BH322" s="363">
        <v>0</v>
      </c>
      <c r="BI322" s="363">
        <v>0</v>
      </c>
      <c r="BJ322" s="363">
        <v>0</v>
      </c>
      <c r="BK322" s="363">
        <v>0</v>
      </c>
      <c r="BL322" s="363">
        <v>0</v>
      </c>
      <c r="BM322" s="363">
        <v>0</v>
      </c>
      <c r="BN322" s="363">
        <v>0</v>
      </c>
      <c r="BO322" s="363">
        <v>0</v>
      </c>
      <c r="BP322" s="363">
        <v>0</v>
      </c>
      <c r="BQ322" s="363">
        <v>0</v>
      </c>
      <c r="BR322" s="363">
        <v>0</v>
      </c>
      <c r="BS322" s="363">
        <v>0</v>
      </c>
      <c r="BT322" s="363">
        <v>0</v>
      </c>
      <c r="BU322" s="363">
        <v>0</v>
      </c>
      <c r="BV322" s="363">
        <v>0</v>
      </c>
      <c r="BW322" s="363">
        <v>0</v>
      </c>
      <c r="BX322" s="363">
        <v>0</v>
      </c>
      <c r="BY322" s="363">
        <v>0</v>
      </c>
      <c r="BZ322" s="363">
        <v>0</v>
      </c>
      <c r="CA322" s="363">
        <v>0</v>
      </c>
      <c r="CB322" s="363">
        <v>0</v>
      </c>
      <c r="CC322" s="363">
        <v>0</v>
      </c>
      <c r="CD322" s="363">
        <v>0</v>
      </c>
      <c r="CE322" s="363">
        <v>0</v>
      </c>
      <c r="CF322" s="363">
        <v>0</v>
      </c>
      <c r="CG322" s="363">
        <v>0</v>
      </c>
      <c r="CH322" s="363">
        <v>0</v>
      </c>
      <c r="CI322" s="363">
        <v>0</v>
      </c>
      <c r="CJ322" s="363">
        <v>0</v>
      </c>
      <c r="CK322" s="363">
        <v>0</v>
      </c>
      <c r="CL322" s="363">
        <v>0</v>
      </c>
      <c r="CM322" s="363"/>
      <c r="CN322" s="363"/>
      <c r="CO322" s="363"/>
      <c r="CP322" s="363"/>
      <c r="CQ322" s="363"/>
      <c r="CR322" s="363"/>
      <c r="CS322" s="363"/>
      <c r="CT322" s="363"/>
      <c r="CU322" s="363"/>
      <c r="CV322" s="363"/>
      <c r="CW322" s="363"/>
      <c r="CX322" s="363"/>
      <c r="CY322" s="363"/>
      <c r="CZ322" s="363"/>
      <c r="DA322" s="363"/>
      <c r="DB322" s="363"/>
      <c r="DC322" s="363"/>
      <c r="DD322" s="363"/>
      <c r="DE322" s="363"/>
      <c r="DF322" s="363"/>
      <c r="DG322" s="363"/>
      <c r="DH322" s="363"/>
      <c r="DI322" s="363"/>
      <c r="DJ322" s="363"/>
      <c r="DK322" s="363"/>
      <c r="DL322" s="363"/>
      <c r="DM322" s="363"/>
      <c r="DN322" s="363"/>
      <c r="DO322" s="363"/>
      <c r="DP322" s="363"/>
      <c r="DQ322" s="363"/>
      <c r="DR322" s="363"/>
      <c r="DS322" s="363"/>
      <c r="DT322" s="363"/>
      <c r="DU322" s="363"/>
      <c r="DV322" s="363"/>
      <c r="DW322" s="544">
        <f t="shared" si="37"/>
        <v>0</v>
      </c>
      <c r="DX322" s="890"/>
      <c r="DY322" s="705"/>
      <c r="DZ322" s="871"/>
      <c r="EA322" s="895"/>
      <c r="EB322" s="878"/>
      <c r="EC322" s="878"/>
      <c r="ED322" s="878"/>
      <c r="EE322" s="878"/>
      <c r="EF322" s="880"/>
      <c r="EG322" s="1106"/>
      <c r="EI322" s="858"/>
      <c r="EJ322" s="877"/>
      <c r="ER322" s="497"/>
    </row>
    <row r="323" spans="1:148" s="278" customFormat="1" ht="12.75" outlineLevel="2" thickBot="1" x14ac:dyDescent="0.25">
      <c r="A323" s="884"/>
      <c r="B323" s="908"/>
      <c r="C323" s="909"/>
      <c r="D323" s="876"/>
      <c r="E323" s="875"/>
      <c r="F323" s="313" t="s">
        <v>211</v>
      </c>
      <c r="G323" s="387"/>
      <c r="H323" s="387">
        <v>279.99964</v>
      </c>
      <c r="I323" s="387">
        <v>0</v>
      </c>
      <c r="J323" s="387">
        <v>0</v>
      </c>
      <c r="K323" s="387">
        <v>0</v>
      </c>
      <c r="L323" s="387">
        <v>0</v>
      </c>
      <c r="M323" s="387">
        <v>0</v>
      </c>
      <c r="N323" s="387">
        <v>0</v>
      </c>
      <c r="O323" s="387">
        <v>0</v>
      </c>
      <c r="P323" s="387">
        <v>0</v>
      </c>
      <c r="Q323" s="387">
        <v>0</v>
      </c>
      <c r="R323" s="387">
        <v>0</v>
      </c>
      <c r="S323" s="387">
        <v>0</v>
      </c>
      <c r="T323" s="387">
        <v>0</v>
      </c>
      <c r="U323" s="387">
        <v>0</v>
      </c>
      <c r="V323" s="387">
        <v>0</v>
      </c>
      <c r="W323" s="387">
        <v>0</v>
      </c>
      <c r="X323" s="387">
        <v>0</v>
      </c>
      <c r="Y323" s="387">
        <v>0</v>
      </c>
      <c r="Z323" s="387">
        <v>0</v>
      </c>
      <c r="AA323" s="387">
        <v>0</v>
      </c>
      <c r="AB323" s="387">
        <v>0</v>
      </c>
      <c r="AC323" s="387">
        <v>0</v>
      </c>
      <c r="AD323" s="387">
        <v>0</v>
      </c>
      <c r="AE323" s="387">
        <v>0</v>
      </c>
      <c r="AF323" s="387">
        <v>0</v>
      </c>
      <c r="AG323" s="387">
        <v>0</v>
      </c>
      <c r="AH323" s="387">
        <v>0</v>
      </c>
      <c r="AI323" s="387">
        <v>0</v>
      </c>
      <c r="AJ323" s="387">
        <v>0</v>
      </c>
      <c r="AK323" s="387">
        <v>0</v>
      </c>
      <c r="AL323" s="387">
        <v>0</v>
      </c>
      <c r="AM323" s="387">
        <v>0</v>
      </c>
      <c r="AN323" s="387">
        <v>0</v>
      </c>
      <c r="AO323" s="387">
        <v>0</v>
      </c>
      <c r="AP323" s="387">
        <v>0</v>
      </c>
      <c r="AQ323" s="387">
        <v>0</v>
      </c>
      <c r="AR323" s="387">
        <v>0</v>
      </c>
      <c r="AS323" s="387">
        <v>0</v>
      </c>
      <c r="AT323" s="387">
        <v>0</v>
      </c>
      <c r="AU323" s="387">
        <v>0</v>
      </c>
      <c r="AV323" s="387">
        <v>0</v>
      </c>
      <c r="AW323" s="387">
        <v>0</v>
      </c>
      <c r="AX323" s="387">
        <v>0</v>
      </c>
      <c r="AY323" s="387">
        <v>0</v>
      </c>
      <c r="AZ323" s="387">
        <v>0</v>
      </c>
      <c r="BA323" s="387">
        <v>0</v>
      </c>
      <c r="BB323" s="387">
        <v>0</v>
      </c>
      <c r="BC323" s="363">
        <v>0</v>
      </c>
      <c r="BD323" s="363">
        <v>0</v>
      </c>
      <c r="BE323" s="363">
        <v>0</v>
      </c>
      <c r="BF323" s="363">
        <v>0</v>
      </c>
      <c r="BG323" s="363">
        <v>0</v>
      </c>
      <c r="BH323" s="363">
        <v>0</v>
      </c>
      <c r="BI323" s="363">
        <v>0</v>
      </c>
      <c r="BJ323" s="363">
        <v>0</v>
      </c>
      <c r="BK323" s="363">
        <v>0</v>
      </c>
      <c r="BL323" s="363">
        <v>0</v>
      </c>
      <c r="BM323" s="363">
        <v>0</v>
      </c>
      <c r="BN323" s="363">
        <v>0</v>
      </c>
      <c r="BO323" s="363">
        <v>0</v>
      </c>
      <c r="BP323" s="363">
        <v>0</v>
      </c>
      <c r="BQ323" s="363">
        <v>0</v>
      </c>
      <c r="BR323" s="363">
        <v>0</v>
      </c>
      <c r="BS323" s="363">
        <v>0</v>
      </c>
      <c r="BT323" s="363">
        <v>0</v>
      </c>
      <c r="BU323" s="363">
        <v>0</v>
      </c>
      <c r="BV323" s="363">
        <v>0</v>
      </c>
      <c r="BW323" s="363">
        <v>0</v>
      </c>
      <c r="BX323" s="363">
        <v>0</v>
      </c>
      <c r="BY323" s="363">
        <v>0</v>
      </c>
      <c r="BZ323" s="363">
        <v>0</v>
      </c>
      <c r="CA323" s="363">
        <v>0</v>
      </c>
      <c r="CB323" s="363">
        <v>0</v>
      </c>
      <c r="CC323" s="363">
        <v>0</v>
      </c>
      <c r="CD323" s="363">
        <v>0</v>
      </c>
      <c r="CE323" s="363">
        <v>0</v>
      </c>
      <c r="CF323" s="363">
        <v>0</v>
      </c>
      <c r="CG323" s="363">
        <v>0</v>
      </c>
      <c r="CH323" s="363">
        <v>0</v>
      </c>
      <c r="CI323" s="363">
        <v>0</v>
      </c>
      <c r="CJ323" s="363">
        <v>0</v>
      </c>
      <c r="CK323" s="363">
        <v>0</v>
      </c>
      <c r="CL323" s="363">
        <v>0</v>
      </c>
      <c r="CM323" s="363"/>
      <c r="CN323" s="363"/>
      <c r="CO323" s="363"/>
      <c r="CP323" s="363"/>
      <c r="CQ323" s="363"/>
      <c r="CR323" s="363"/>
      <c r="CS323" s="363"/>
      <c r="CT323" s="363"/>
      <c r="CU323" s="363"/>
      <c r="CV323" s="363"/>
      <c r="CW323" s="363"/>
      <c r="CX323" s="363"/>
      <c r="CY323" s="363"/>
      <c r="CZ323" s="363"/>
      <c r="DA323" s="363"/>
      <c r="DB323" s="363"/>
      <c r="DC323" s="363"/>
      <c r="DD323" s="363"/>
      <c r="DE323" s="363"/>
      <c r="DF323" s="363"/>
      <c r="DG323" s="363"/>
      <c r="DH323" s="363"/>
      <c r="DI323" s="363"/>
      <c r="DJ323" s="363"/>
      <c r="DK323" s="363"/>
      <c r="DL323" s="363"/>
      <c r="DM323" s="363"/>
      <c r="DN323" s="363"/>
      <c r="DO323" s="363"/>
      <c r="DP323" s="363"/>
      <c r="DQ323" s="363"/>
      <c r="DR323" s="363"/>
      <c r="DS323" s="363"/>
      <c r="DT323" s="363"/>
      <c r="DU323" s="363"/>
      <c r="DV323" s="363"/>
      <c r="DW323" s="545">
        <f t="shared" si="37"/>
        <v>279.99964</v>
      </c>
      <c r="DX323" s="891"/>
      <c r="DY323" s="706"/>
      <c r="DZ323" s="872"/>
      <c r="EA323" s="896"/>
      <c r="EB323" s="879"/>
      <c r="EC323" s="879"/>
      <c r="ED323" s="879"/>
      <c r="EE323" s="879"/>
      <c r="EF323" s="881"/>
      <c r="EG323" s="1107"/>
      <c r="EI323" s="858"/>
      <c r="EJ323" s="877"/>
      <c r="ER323" s="497"/>
    </row>
    <row r="324" spans="1:148" s="278" customFormat="1" ht="24" outlineLevel="2" x14ac:dyDescent="0.2">
      <c r="A324" s="882" t="s">
        <v>557</v>
      </c>
      <c r="B324" s="885" t="s">
        <v>168</v>
      </c>
      <c r="C324" s="885"/>
      <c r="D324" s="888">
        <f>+IFERROR(VLOOKUP(B324,'Detalle Plan de Adquisiciones'!$G$53:$L$153,6,FALSE),0)</f>
        <v>0</v>
      </c>
      <c r="E324" s="889" t="str">
        <f>+'Detalle Plan de Adquisiciones'!F127</f>
        <v>INTERVENTORÍA TÉCNICA, ADMINISTRATIVA, FINANCIERA Y AMBIENTAL AL CONTRATO CUYO OBJETO ES: CONSTRUCCIÓN PRIMERA ETAPA PARA LA REPAVIMENTACIÓN DE LA CRA 3RA ENTRE CALLES 37 Y AVENIDA CIRCUNVALAR SUR PERTENECIENTE A LOS CORREDORES DEL SETP DEL MUNICIPIO DE MONTERÍA</v>
      </c>
      <c r="F324" s="312" t="s">
        <v>410</v>
      </c>
      <c r="G324" s="383">
        <v>0</v>
      </c>
      <c r="H324" s="383">
        <v>0</v>
      </c>
      <c r="I324" s="383">
        <v>0</v>
      </c>
      <c r="J324" s="383">
        <v>0</v>
      </c>
      <c r="K324" s="383">
        <v>0</v>
      </c>
      <c r="L324" s="383">
        <v>0</v>
      </c>
      <c r="M324" s="383">
        <v>0</v>
      </c>
      <c r="N324" s="383">
        <v>0</v>
      </c>
      <c r="O324" s="383">
        <v>0</v>
      </c>
      <c r="P324" s="383">
        <v>0</v>
      </c>
      <c r="Q324" s="383">
        <v>0</v>
      </c>
      <c r="R324" s="383">
        <v>0</v>
      </c>
      <c r="S324" s="383">
        <v>0</v>
      </c>
      <c r="T324" s="383">
        <v>0</v>
      </c>
      <c r="U324" s="383">
        <v>0</v>
      </c>
      <c r="V324" s="383">
        <v>0</v>
      </c>
      <c r="W324" s="383">
        <v>0</v>
      </c>
      <c r="X324" s="383">
        <v>0</v>
      </c>
      <c r="Y324" s="383">
        <v>0</v>
      </c>
      <c r="Z324" s="383">
        <v>0</v>
      </c>
      <c r="AA324" s="383">
        <v>0</v>
      </c>
      <c r="AB324" s="383">
        <v>0</v>
      </c>
      <c r="AC324" s="383">
        <v>0</v>
      </c>
      <c r="AD324" s="383">
        <v>0</v>
      </c>
      <c r="AE324" s="383">
        <v>0</v>
      </c>
      <c r="AF324" s="383">
        <v>0</v>
      </c>
      <c r="AG324" s="383">
        <v>0</v>
      </c>
      <c r="AH324" s="383">
        <v>0</v>
      </c>
      <c r="AI324" s="383">
        <v>0</v>
      </c>
      <c r="AJ324" s="383">
        <v>0</v>
      </c>
      <c r="AK324" s="383">
        <v>0</v>
      </c>
      <c r="AL324" s="383">
        <v>0</v>
      </c>
      <c r="AM324" s="383">
        <v>0</v>
      </c>
      <c r="AN324" s="383">
        <v>0</v>
      </c>
      <c r="AO324" s="383">
        <v>0</v>
      </c>
      <c r="AP324" s="383">
        <v>0</v>
      </c>
      <c r="AQ324" s="383">
        <v>0</v>
      </c>
      <c r="AR324" s="383">
        <v>0</v>
      </c>
      <c r="AS324" s="383">
        <v>0</v>
      </c>
      <c r="AT324" s="383">
        <v>0</v>
      </c>
      <c r="AU324" s="383">
        <v>0</v>
      </c>
      <c r="AV324" s="383">
        <v>0</v>
      </c>
      <c r="AW324" s="383">
        <v>0</v>
      </c>
      <c r="AX324" s="383">
        <v>0</v>
      </c>
      <c r="AY324" s="383">
        <v>0</v>
      </c>
      <c r="AZ324" s="383">
        <v>0</v>
      </c>
      <c r="BA324" s="383">
        <v>0</v>
      </c>
      <c r="BB324" s="383">
        <v>0</v>
      </c>
      <c r="BC324" s="363">
        <v>0</v>
      </c>
      <c r="BD324" s="363">
        <v>0</v>
      </c>
      <c r="BE324" s="363">
        <v>0</v>
      </c>
      <c r="BF324" s="363">
        <v>0</v>
      </c>
      <c r="BG324" s="363">
        <v>0</v>
      </c>
      <c r="BH324" s="363">
        <v>0</v>
      </c>
      <c r="BI324" s="363">
        <v>0</v>
      </c>
      <c r="BJ324" s="363">
        <v>0</v>
      </c>
      <c r="BK324" s="363">
        <v>0</v>
      </c>
      <c r="BL324" s="363">
        <v>0</v>
      </c>
      <c r="BM324" s="363">
        <v>0</v>
      </c>
      <c r="BN324" s="363">
        <v>0</v>
      </c>
      <c r="BO324" s="363">
        <v>0</v>
      </c>
      <c r="BP324" s="363">
        <v>0</v>
      </c>
      <c r="BQ324" s="363">
        <v>0</v>
      </c>
      <c r="BR324" s="363">
        <v>0</v>
      </c>
      <c r="BS324" s="363">
        <v>0</v>
      </c>
      <c r="BT324" s="363">
        <v>0</v>
      </c>
      <c r="BU324" s="363">
        <v>0</v>
      </c>
      <c r="BV324" s="363">
        <v>0</v>
      </c>
      <c r="BW324" s="363">
        <v>0</v>
      </c>
      <c r="BX324" s="363">
        <v>0</v>
      </c>
      <c r="BY324" s="363">
        <v>0</v>
      </c>
      <c r="BZ324" s="363">
        <v>0</v>
      </c>
      <c r="CA324" s="363">
        <v>0</v>
      </c>
      <c r="CB324" s="363">
        <v>0</v>
      </c>
      <c r="CC324" s="363">
        <v>0</v>
      </c>
      <c r="CD324" s="363">
        <v>0</v>
      </c>
      <c r="CE324" s="363">
        <v>0</v>
      </c>
      <c r="CF324" s="363">
        <v>0</v>
      </c>
      <c r="CG324" s="363">
        <v>0</v>
      </c>
      <c r="CH324" s="363">
        <v>0</v>
      </c>
      <c r="CI324" s="363">
        <v>0</v>
      </c>
      <c r="CJ324" s="363">
        <v>0</v>
      </c>
      <c r="CK324" s="363">
        <v>0</v>
      </c>
      <c r="CL324" s="363">
        <v>0</v>
      </c>
      <c r="CM324" s="363"/>
      <c r="CN324" s="363"/>
      <c r="CO324" s="363"/>
      <c r="CP324" s="363"/>
      <c r="CQ324" s="363"/>
      <c r="CR324" s="363"/>
      <c r="CS324" s="363"/>
      <c r="CT324" s="363"/>
      <c r="CU324" s="363"/>
      <c r="CV324" s="363"/>
      <c r="CW324" s="363"/>
      <c r="CX324" s="363"/>
      <c r="CY324" s="363"/>
      <c r="CZ324" s="363"/>
      <c r="DA324" s="363"/>
      <c r="DB324" s="363"/>
      <c r="DC324" s="363"/>
      <c r="DD324" s="363"/>
      <c r="DE324" s="363"/>
      <c r="DF324" s="363"/>
      <c r="DG324" s="363"/>
      <c r="DH324" s="363"/>
      <c r="DI324" s="363"/>
      <c r="DJ324" s="363"/>
      <c r="DK324" s="363"/>
      <c r="DL324" s="363"/>
      <c r="DM324" s="363"/>
      <c r="DN324" s="363"/>
      <c r="DO324" s="363"/>
      <c r="DP324" s="363"/>
      <c r="DQ324" s="363"/>
      <c r="DR324" s="363"/>
      <c r="DS324" s="363"/>
      <c r="DT324" s="363"/>
      <c r="DU324" s="363"/>
      <c r="DV324" s="363"/>
      <c r="DW324" s="543">
        <f t="shared" si="37"/>
        <v>0</v>
      </c>
      <c r="DX324" s="869">
        <f>DW324+DW325+DW326</f>
        <v>0</v>
      </c>
      <c r="DY324" s="704">
        <f>+DX324*1000000</f>
        <v>0</v>
      </c>
      <c r="DZ324" s="870">
        <f>+DY324-D324</f>
        <v>0</v>
      </c>
      <c r="EA324" s="874" t="str">
        <f>VLOOKUP(POA!$B324,INTERPLAN,28,0)</f>
        <v>N/A</v>
      </c>
      <c r="EB324" s="860" t="e">
        <f>+EDATE(EA324,C325)</f>
        <v>#VALUE!</v>
      </c>
      <c r="EC324" s="860" t="e">
        <f>EB324+30</f>
        <v>#VALUE!</v>
      </c>
      <c r="ED324" s="860" t="e">
        <f>CONCATENATE(MONTH(EA324),"-",YEAR(EA324))</f>
        <v>#VALUE!</v>
      </c>
      <c r="EE324" s="860" t="e">
        <f>CONCATENATE(MONTH(EB324),"-",YEAR(EB324))</f>
        <v>#VALUE!</v>
      </c>
      <c r="EF324" s="862" t="e">
        <f>CONCATENATE(MONTH(EC324),"-",YEAR(EC324))</f>
        <v>#VALUE!</v>
      </c>
      <c r="EG324" s="1105" t="e">
        <f>+YEAR(EA324)</f>
        <v>#VALUE!</v>
      </c>
      <c r="EI324" s="858">
        <f>+DW324+DW325+DW326</f>
        <v>0</v>
      </c>
      <c r="EJ324" s="877">
        <f>+D324/1000000-EI324</f>
        <v>0</v>
      </c>
      <c r="ER324" s="497"/>
    </row>
    <row r="325" spans="1:148" s="278" customFormat="1" outlineLevel="2" x14ac:dyDescent="0.2">
      <c r="A325" s="883"/>
      <c r="B325" s="886"/>
      <c r="C325" s="886"/>
      <c r="D325" s="864"/>
      <c r="E325" s="867"/>
      <c r="F325" s="311" t="s">
        <v>210</v>
      </c>
      <c r="G325" s="363">
        <v>0</v>
      </c>
      <c r="H325" s="363">
        <v>0</v>
      </c>
      <c r="I325" s="363">
        <v>0</v>
      </c>
      <c r="J325" s="363">
        <v>0</v>
      </c>
      <c r="K325" s="363">
        <v>0</v>
      </c>
      <c r="L325" s="363">
        <v>0</v>
      </c>
      <c r="M325" s="363">
        <v>0</v>
      </c>
      <c r="N325" s="363">
        <v>0</v>
      </c>
      <c r="O325" s="363">
        <v>0</v>
      </c>
      <c r="P325" s="363">
        <v>0</v>
      </c>
      <c r="Q325" s="363">
        <v>0</v>
      </c>
      <c r="R325" s="363">
        <v>0</v>
      </c>
      <c r="S325" s="363">
        <v>0</v>
      </c>
      <c r="T325" s="363">
        <v>0</v>
      </c>
      <c r="U325" s="363">
        <v>0</v>
      </c>
      <c r="V325" s="363">
        <v>0</v>
      </c>
      <c r="W325" s="363">
        <v>0</v>
      </c>
      <c r="X325" s="363">
        <v>0</v>
      </c>
      <c r="Y325" s="363">
        <v>0</v>
      </c>
      <c r="Z325" s="363">
        <v>0</v>
      </c>
      <c r="AA325" s="363">
        <v>0</v>
      </c>
      <c r="AB325" s="363">
        <v>0</v>
      </c>
      <c r="AC325" s="363">
        <v>0</v>
      </c>
      <c r="AD325" s="363">
        <v>0</v>
      </c>
      <c r="AE325" s="363">
        <v>0</v>
      </c>
      <c r="AF325" s="363">
        <v>0</v>
      </c>
      <c r="AG325" s="363">
        <v>0</v>
      </c>
      <c r="AH325" s="363">
        <v>0</v>
      </c>
      <c r="AI325" s="363">
        <v>0</v>
      </c>
      <c r="AJ325" s="363">
        <v>0</v>
      </c>
      <c r="AK325" s="363">
        <v>0</v>
      </c>
      <c r="AL325" s="363">
        <v>0</v>
      </c>
      <c r="AM325" s="363">
        <v>0</v>
      </c>
      <c r="AN325" s="363">
        <v>0</v>
      </c>
      <c r="AO325" s="363">
        <v>0</v>
      </c>
      <c r="AP325" s="363">
        <v>0</v>
      </c>
      <c r="AQ325" s="363">
        <v>0</v>
      </c>
      <c r="AR325" s="363">
        <v>0</v>
      </c>
      <c r="AS325" s="363">
        <v>0</v>
      </c>
      <c r="AT325" s="363">
        <v>0</v>
      </c>
      <c r="AU325" s="363">
        <v>0</v>
      </c>
      <c r="AV325" s="363">
        <v>0</v>
      </c>
      <c r="AW325" s="363">
        <v>0</v>
      </c>
      <c r="AX325" s="363">
        <v>0</v>
      </c>
      <c r="AY325" s="363">
        <v>0</v>
      </c>
      <c r="AZ325" s="363">
        <v>0</v>
      </c>
      <c r="BA325" s="363">
        <v>0</v>
      </c>
      <c r="BB325" s="363">
        <v>0</v>
      </c>
      <c r="BC325" s="363">
        <v>0</v>
      </c>
      <c r="BD325" s="363">
        <v>0</v>
      </c>
      <c r="BE325" s="363">
        <v>0</v>
      </c>
      <c r="BF325" s="363">
        <v>0</v>
      </c>
      <c r="BG325" s="363">
        <v>0</v>
      </c>
      <c r="BH325" s="363">
        <v>0</v>
      </c>
      <c r="BI325" s="363">
        <v>0</v>
      </c>
      <c r="BJ325" s="363">
        <v>0</v>
      </c>
      <c r="BK325" s="363">
        <v>0</v>
      </c>
      <c r="BL325" s="363">
        <v>0</v>
      </c>
      <c r="BM325" s="363">
        <v>0</v>
      </c>
      <c r="BN325" s="363">
        <v>0</v>
      </c>
      <c r="BO325" s="363">
        <v>0</v>
      </c>
      <c r="BP325" s="363">
        <v>0</v>
      </c>
      <c r="BQ325" s="363">
        <v>0</v>
      </c>
      <c r="BR325" s="363">
        <v>0</v>
      </c>
      <c r="BS325" s="363">
        <v>0</v>
      </c>
      <c r="BT325" s="363">
        <v>0</v>
      </c>
      <c r="BU325" s="363">
        <v>0</v>
      </c>
      <c r="BV325" s="363">
        <v>0</v>
      </c>
      <c r="BW325" s="363">
        <v>0</v>
      </c>
      <c r="BX325" s="363">
        <v>0</v>
      </c>
      <c r="BY325" s="363">
        <v>0</v>
      </c>
      <c r="BZ325" s="363">
        <v>0</v>
      </c>
      <c r="CA325" s="363">
        <v>0</v>
      </c>
      <c r="CB325" s="363">
        <v>0</v>
      </c>
      <c r="CC325" s="363">
        <v>0</v>
      </c>
      <c r="CD325" s="363">
        <v>0</v>
      </c>
      <c r="CE325" s="363">
        <v>0</v>
      </c>
      <c r="CF325" s="363">
        <v>0</v>
      </c>
      <c r="CG325" s="363">
        <v>0</v>
      </c>
      <c r="CH325" s="363">
        <v>0</v>
      </c>
      <c r="CI325" s="363">
        <v>0</v>
      </c>
      <c r="CJ325" s="363">
        <v>0</v>
      </c>
      <c r="CK325" s="363">
        <v>0</v>
      </c>
      <c r="CL325" s="363">
        <v>0</v>
      </c>
      <c r="CM325" s="363"/>
      <c r="CN325" s="363"/>
      <c r="CO325" s="363"/>
      <c r="CP325" s="363"/>
      <c r="CQ325" s="363"/>
      <c r="CR325" s="363"/>
      <c r="CS325" s="363"/>
      <c r="CT325" s="363"/>
      <c r="CU325" s="363"/>
      <c r="CV325" s="363"/>
      <c r="CW325" s="363"/>
      <c r="CX325" s="363"/>
      <c r="CY325" s="363"/>
      <c r="CZ325" s="363"/>
      <c r="DA325" s="363"/>
      <c r="DB325" s="363"/>
      <c r="DC325" s="363"/>
      <c r="DD325" s="363"/>
      <c r="DE325" s="363"/>
      <c r="DF325" s="363"/>
      <c r="DG325" s="363"/>
      <c r="DH325" s="363"/>
      <c r="DI325" s="363"/>
      <c r="DJ325" s="363"/>
      <c r="DK325" s="363"/>
      <c r="DL325" s="363"/>
      <c r="DM325" s="363"/>
      <c r="DN325" s="363"/>
      <c r="DO325" s="363"/>
      <c r="DP325" s="363"/>
      <c r="DQ325" s="363"/>
      <c r="DR325" s="363"/>
      <c r="DS325" s="363"/>
      <c r="DT325" s="363"/>
      <c r="DU325" s="363"/>
      <c r="DV325" s="363"/>
      <c r="DW325" s="544">
        <f t="shared" si="37"/>
        <v>0</v>
      </c>
      <c r="DX325" s="890"/>
      <c r="DY325" s="705"/>
      <c r="DZ325" s="871"/>
      <c r="EA325" s="895"/>
      <c r="EB325" s="878"/>
      <c r="EC325" s="878"/>
      <c r="ED325" s="878"/>
      <c r="EE325" s="878"/>
      <c r="EF325" s="880"/>
      <c r="EG325" s="1106"/>
      <c r="EI325" s="858"/>
      <c r="EJ325" s="877"/>
      <c r="ER325" s="497"/>
    </row>
    <row r="326" spans="1:148" s="278" customFormat="1" ht="12.75" outlineLevel="2" thickBot="1" x14ac:dyDescent="0.25">
      <c r="A326" s="884"/>
      <c r="B326" s="887"/>
      <c r="C326" s="887"/>
      <c r="D326" s="865"/>
      <c r="E326" s="868"/>
      <c r="F326" s="315" t="s">
        <v>211</v>
      </c>
      <c r="G326" s="364">
        <v>0</v>
      </c>
      <c r="H326" s="364">
        <v>0</v>
      </c>
      <c r="I326" s="364">
        <v>0</v>
      </c>
      <c r="J326" s="364">
        <v>0</v>
      </c>
      <c r="K326" s="364">
        <v>0</v>
      </c>
      <c r="L326" s="364">
        <v>0</v>
      </c>
      <c r="M326" s="364">
        <v>0</v>
      </c>
      <c r="N326" s="364">
        <v>0</v>
      </c>
      <c r="O326" s="364">
        <v>0</v>
      </c>
      <c r="P326" s="364">
        <v>0</v>
      </c>
      <c r="Q326" s="364">
        <v>0</v>
      </c>
      <c r="R326" s="364">
        <v>0</v>
      </c>
      <c r="S326" s="364">
        <v>0</v>
      </c>
      <c r="T326" s="364">
        <v>0</v>
      </c>
      <c r="U326" s="364">
        <v>0</v>
      </c>
      <c r="V326" s="364">
        <v>0</v>
      </c>
      <c r="W326" s="364">
        <v>0</v>
      </c>
      <c r="X326" s="364">
        <v>0</v>
      </c>
      <c r="Y326" s="364">
        <v>0</v>
      </c>
      <c r="Z326" s="364">
        <v>0</v>
      </c>
      <c r="AA326" s="364">
        <v>0</v>
      </c>
      <c r="AB326" s="364">
        <v>0</v>
      </c>
      <c r="AC326" s="364">
        <v>0</v>
      </c>
      <c r="AD326" s="364">
        <v>0</v>
      </c>
      <c r="AE326" s="364">
        <v>0</v>
      </c>
      <c r="AF326" s="364">
        <v>0</v>
      </c>
      <c r="AG326" s="364">
        <v>0</v>
      </c>
      <c r="AH326" s="364">
        <v>0</v>
      </c>
      <c r="AI326" s="364">
        <v>0</v>
      </c>
      <c r="AJ326" s="364">
        <v>0</v>
      </c>
      <c r="AK326" s="364">
        <v>0</v>
      </c>
      <c r="AL326" s="364">
        <v>0</v>
      </c>
      <c r="AM326" s="364">
        <v>0</v>
      </c>
      <c r="AN326" s="364">
        <v>0</v>
      </c>
      <c r="AO326" s="364">
        <v>0</v>
      </c>
      <c r="AP326" s="364">
        <v>0</v>
      </c>
      <c r="AQ326" s="364">
        <v>0</v>
      </c>
      <c r="AR326" s="364">
        <v>0</v>
      </c>
      <c r="AS326" s="364">
        <v>0</v>
      </c>
      <c r="AT326" s="364">
        <v>0</v>
      </c>
      <c r="AU326" s="364">
        <v>0</v>
      </c>
      <c r="AV326" s="364">
        <v>0</v>
      </c>
      <c r="AW326" s="364">
        <v>0</v>
      </c>
      <c r="AX326" s="364">
        <v>0</v>
      </c>
      <c r="AY326" s="364">
        <v>0</v>
      </c>
      <c r="AZ326" s="364">
        <v>0</v>
      </c>
      <c r="BA326" s="364">
        <v>0</v>
      </c>
      <c r="BB326" s="364">
        <v>0</v>
      </c>
      <c r="BC326" s="363">
        <v>0</v>
      </c>
      <c r="BD326" s="363">
        <v>0</v>
      </c>
      <c r="BE326" s="363">
        <v>0</v>
      </c>
      <c r="BF326" s="363">
        <v>0</v>
      </c>
      <c r="BG326" s="363">
        <v>0</v>
      </c>
      <c r="BH326" s="363">
        <v>0</v>
      </c>
      <c r="BI326" s="363">
        <v>0</v>
      </c>
      <c r="BJ326" s="363">
        <v>0</v>
      </c>
      <c r="BK326" s="363">
        <v>0</v>
      </c>
      <c r="BL326" s="363">
        <v>0</v>
      </c>
      <c r="BM326" s="363">
        <v>0</v>
      </c>
      <c r="BN326" s="363">
        <v>0</v>
      </c>
      <c r="BO326" s="363">
        <v>0</v>
      </c>
      <c r="BP326" s="363">
        <v>0</v>
      </c>
      <c r="BQ326" s="363">
        <v>0</v>
      </c>
      <c r="BR326" s="363">
        <v>0</v>
      </c>
      <c r="BS326" s="363">
        <v>0</v>
      </c>
      <c r="BT326" s="363">
        <v>0</v>
      </c>
      <c r="BU326" s="363">
        <v>0</v>
      </c>
      <c r="BV326" s="363">
        <v>0</v>
      </c>
      <c r="BW326" s="363">
        <v>0</v>
      </c>
      <c r="BX326" s="363">
        <v>0</v>
      </c>
      <c r="BY326" s="363">
        <v>0</v>
      </c>
      <c r="BZ326" s="363">
        <v>0</v>
      </c>
      <c r="CA326" s="363">
        <v>0</v>
      </c>
      <c r="CB326" s="363">
        <v>0</v>
      </c>
      <c r="CC326" s="363">
        <v>0</v>
      </c>
      <c r="CD326" s="363">
        <v>0</v>
      </c>
      <c r="CE326" s="363">
        <v>0</v>
      </c>
      <c r="CF326" s="363">
        <v>0</v>
      </c>
      <c r="CG326" s="363">
        <v>0</v>
      </c>
      <c r="CH326" s="363">
        <v>0</v>
      </c>
      <c r="CI326" s="363">
        <v>0</v>
      </c>
      <c r="CJ326" s="363">
        <v>0</v>
      </c>
      <c r="CK326" s="363">
        <v>0</v>
      </c>
      <c r="CL326" s="363">
        <v>0</v>
      </c>
      <c r="CM326" s="363"/>
      <c r="CN326" s="363"/>
      <c r="CO326" s="363"/>
      <c r="CP326" s="363"/>
      <c r="CQ326" s="363"/>
      <c r="CR326" s="363"/>
      <c r="CS326" s="363"/>
      <c r="CT326" s="363"/>
      <c r="CU326" s="363"/>
      <c r="CV326" s="363"/>
      <c r="CW326" s="363"/>
      <c r="CX326" s="363"/>
      <c r="CY326" s="363"/>
      <c r="CZ326" s="363"/>
      <c r="DA326" s="363"/>
      <c r="DB326" s="363"/>
      <c r="DC326" s="363"/>
      <c r="DD326" s="363"/>
      <c r="DE326" s="363"/>
      <c r="DF326" s="363"/>
      <c r="DG326" s="363"/>
      <c r="DH326" s="363"/>
      <c r="DI326" s="363"/>
      <c r="DJ326" s="363"/>
      <c r="DK326" s="363"/>
      <c r="DL326" s="363"/>
      <c r="DM326" s="363"/>
      <c r="DN326" s="363"/>
      <c r="DO326" s="363"/>
      <c r="DP326" s="363"/>
      <c r="DQ326" s="363"/>
      <c r="DR326" s="363"/>
      <c r="DS326" s="363"/>
      <c r="DT326" s="363"/>
      <c r="DU326" s="363"/>
      <c r="DV326" s="363"/>
      <c r="DW326" s="545">
        <f t="shared" si="37"/>
        <v>0</v>
      </c>
      <c r="DX326" s="891"/>
      <c r="DY326" s="706"/>
      <c r="DZ326" s="872"/>
      <c r="EA326" s="896"/>
      <c r="EB326" s="879"/>
      <c r="EC326" s="879"/>
      <c r="ED326" s="879"/>
      <c r="EE326" s="879"/>
      <c r="EF326" s="881"/>
      <c r="EG326" s="1107"/>
      <c r="EI326" s="858"/>
      <c r="EJ326" s="877"/>
      <c r="ER326" s="497"/>
    </row>
    <row r="327" spans="1:148" s="58" customFormat="1" ht="12.75" outlineLevel="2" thickBot="1" x14ac:dyDescent="0.25">
      <c r="A327" s="54"/>
      <c r="B327" s="54"/>
      <c r="C327" s="232"/>
      <c r="D327" s="249"/>
      <c r="E327" s="55"/>
      <c r="F327" s="56"/>
      <c r="G327" s="477"/>
      <c r="H327" s="477"/>
      <c r="I327" s="477"/>
      <c r="J327" s="477"/>
      <c r="K327" s="477"/>
      <c r="L327" s="477"/>
      <c r="M327" s="477"/>
      <c r="N327" s="477"/>
      <c r="O327" s="477"/>
      <c r="P327" s="477"/>
      <c r="Q327" s="477"/>
      <c r="R327" s="477"/>
      <c r="S327" s="477"/>
      <c r="T327" s="477"/>
      <c r="U327" s="477"/>
      <c r="V327" s="477"/>
      <c r="W327" s="477"/>
      <c r="X327" s="477"/>
      <c r="Y327" s="477"/>
      <c r="Z327" s="477"/>
      <c r="AA327" s="477"/>
      <c r="AB327" s="477"/>
      <c r="AC327" s="477"/>
      <c r="AD327" s="477"/>
      <c r="AE327" s="477"/>
      <c r="AF327" s="477"/>
      <c r="AG327" s="477"/>
      <c r="AH327" s="477"/>
      <c r="AI327" s="477"/>
      <c r="AJ327" s="477"/>
      <c r="AK327" s="477"/>
      <c r="AL327" s="477"/>
      <c r="AM327" s="477"/>
      <c r="AN327" s="477"/>
      <c r="AO327" s="477"/>
      <c r="AP327" s="477"/>
      <c r="AQ327" s="477"/>
      <c r="AR327" s="477"/>
      <c r="AS327" s="477"/>
      <c r="AT327" s="477"/>
      <c r="AU327" s="477"/>
      <c r="AV327" s="477"/>
      <c r="AW327" s="477"/>
      <c r="AX327" s="477"/>
      <c r="AY327" s="477"/>
      <c r="AZ327" s="477"/>
      <c r="BA327" s="477"/>
      <c r="BB327" s="477"/>
      <c r="BC327" s="449"/>
      <c r="BD327" s="449"/>
      <c r="BE327" s="449"/>
      <c r="BF327" s="449"/>
      <c r="BG327" s="449"/>
      <c r="BH327" s="449"/>
      <c r="BI327" s="449"/>
      <c r="BJ327" s="449"/>
      <c r="BK327" s="449"/>
      <c r="BL327" s="449"/>
      <c r="BM327" s="449"/>
      <c r="BN327" s="449"/>
      <c r="BO327" s="76"/>
      <c r="BP327" s="76"/>
      <c r="BQ327" s="76"/>
      <c r="BR327" s="76"/>
      <c r="BS327" s="76"/>
      <c r="BT327" s="76"/>
      <c r="BU327" s="76"/>
      <c r="BV327" s="76"/>
      <c r="BW327" s="76"/>
      <c r="BX327" s="76"/>
      <c r="BY327" s="76"/>
      <c r="BZ327" s="76"/>
      <c r="CA327" s="76"/>
      <c r="CB327" s="76"/>
      <c r="CC327" s="76"/>
      <c r="CD327" s="830"/>
      <c r="CE327" s="830"/>
      <c r="CF327" s="830"/>
      <c r="CG327" s="830"/>
      <c r="CH327" s="830"/>
      <c r="CI327" s="830"/>
      <c r="CJ327" s="830"/>
      <c r="CK327" s="830"/>
      <c r="CL327" s="830"/>
      <c r="CM327" s="830"/>
      <c r="CN327" s="830"/>
      <c r="CO327" s="830"/>
      <c r="CP327" s="830"/>
      <c r="CQ327" s="830"/>
      <c r="CR327" s="830"/>
      <c r="CS327" s="830"/>
      <c r="CT327" s="830"/>
      <c r="CU327" s="830"/>
      <c r="CV327" s="830"/>
      <c r="CW327" s="830"/>
      <c r="CX327" s="830"/>
      <c r="CY327" s="830"/>
      <c r="CZ327" s="830"/>
      <c r="DA327" s="830"/>
      <c r="DB327" s="830"/>
      <c r="DC327" s="830"/>
      <c r="DD327" s="830"/>
      <c r="DE327" s="830"/>
      <c r="DF327" s="830"/>
      <c r="DG327" s="830"/>
      <c r="DH327" s="830"/>
      <c r="DI327" s="830"/>
      <c r="DJ327" s="830"/>
      <c r="DK327" s="830"/>
      <c r="DL327" s="830"/>
      <c r="DM327" s="830"/>
      <c r="DN327" s="830"/>
      <c r="DO327" s="830"/>
      <c r="DP327" s="830"/>
      <c r="DQ327" s="830"/>
      <c r="DR327" s="830"/>
      <c r="DS327" s="830"/>
      <c r="DT327" s="830"/>
      <c r="DU327" s="830"/>
      <c r="DV327" s="830"/>
      <c r="DW327" s="830"/>
      <c r="DX327" s="56"/>
      <c r="DY327" s="711"/>
      <c r="DZ327" s="56"/>
      <c r="EA327" s="56"/>
      <c r="EB327" s="56"/>
      <c r="EC327" s="56"/>
      <c r="ED327" s="56"/>
      <c r="EE327" s="56"/>
      <c r="EF327" s="56"/>
      <c r="EG327" s="56"/>
      <c r="EI327" s="539"/>
      <c r="EJ327" s="542"/>
      <c r="ER327" s="501"/>
    </row>
    <row r="328" spans="1:148" s="278" customFormat="1" ht="24" outlineLevel="2" x14ac:dyDescent="0.2">
      <c r="A328" s="1091"/>
      <c r="B328" s="885" t="s">
        <v>192</v>
      </c>
      <c r="C328" s="911">
        <v>10</v>
      </c>
      <c r="D328" s="888">
        <f>+IFERROR(VLOOKUP(B328,'Detalle Plan de Adquisiciones'!$G$53:$L$153,6,FALSE),0)</f>
        <v>0</v>
      </c>
      <c r="E328" s="889" t="str">
        <f>+'Detalle Plan de Adquisiciones'!F138</f>
        <v>INTERVENTORÍA TÉCNICA, ADMINISTRATIVA, FINANCIERA Y AMBIENTAL AL CONTRATO CUYO OBJETO ES: PATIO 2</v>
      </c>
      <c r="F328" s="316" t="s">
        <v>410</v>
      </c>
      <c r="G328" s="383">
        <v>0</v>
      </c>
      <c r="H328" s="383">
        <v>0</v>
      </c>
      <c r="I328" s="383">
        <v>0</v>
      </c>
      <c r="J328" s="383">
        <v>0</v>
      </c>
      <c r="K328" s="383">
        <v>0</v>
      </c>
      <c r="L328" s="383">
        <v>0</v>
      </c>
      <c r="M328" s="383">
        <v>0</v>
      </c>
      <c r="N328" s="383">
        <v>0</v>
      </c>
      <c r="O328" s="383">
        <v>0</v>
      </c>
      <c r="P328" s="383">
        <v>0</v>
      </c>
      <c r="Q328" s="383">
        <v>0</v>
      </c>
      <c r="R328" s="383">
        <v>0</v>
      </c>
      <c r="S328" s="383">
        <v>0</v>
      </c>
      <c r="T328" s="383">
        <v>0</v>
      </c>
      <c r="U328" s="383">
        <v>0</v>
      </c>
      <c r="V328" s="383">
        <v>0</v>
      </c>
      <c r="W328" s="383">
        <v>0</v>
      </c>
      <c r="X328" s="383">
        <v>0</v>
      </c>
      <c r="Y328" s="383">
        <v>0</v>
      </c>
      <c r="Z328" s="383">
        <v>0</v>
      </c>
      <c r="AA328" s="383">
        <v>0</v>
      </c>
      <c r="AB328" s="383">
        <v>0</v>
      </c>
      <c r="AC328" s="383">
        <v>0</v>
      </c>
      <c r="AD328" s="383">
        <v>0</v>
      </c>
      <c r="AE328" s="383">
        <v>0</v>
      </c>
      <c r="AF328" s="383">
        <v>0</v>
      </c>
      <c r="AG328" s="383">
        <v>0</v>
      </c>
      <c r="AH328" s="383">
        <v>0</v>
      </c>
      <c r="AI328" s="383">
        <v>0</v>
      </c>
      <c r="AJ328" s="383">
        <v>0</v>
      </c>
      <c r="AK328" s="383">
        <v>0</v>
      </c>
      <c r="AL328" s="383">
        <v>0</v>
      </c>
      <c r="AM328" s="383">
        <v>0</v>
      </c>
      <c r="AN328" s="383">
        <v>0</v>
      </c>
      <c r="AO328" s="383">
        <v>0</v>
      </c>
      <c r="AP328" s="383">
        <v>0</v>
      </c>
      <c r="AQ328" s="383">
        <v>0</v>
      </c>
      <c r="AR328" s="383">
        <v>0</v>
      </c>
      <c r="AS328" s="383">
        <v>0</v>
      </c>
      <c r="AT328" s="383">
        <v>0</v>
      </c>
      <c r="AU328" s="383">
        <v>0</v>
      </c>
      <c r="AV328" s="383">
        <v>0</v>
      </c>
      <c r="AW328" s="383">
        <v>0</v>
      </c>
      <c r="AX328" s="383">
        <v>0</v>
      </c>
      <c r="AY328" s="383">
        <v>0</v>
      </c>
      <c r="AZ328" s="383">
        <v>0</v>
      </c>
      <c r="BA328" s="383">
        <v>0</v>
      </c>
      <c r="BB328" s="383">
        <v>0</v>
      </c>
      <c r="BC328" s="383">
        <v>0</v>
      </c>
      <c r="BD328" s="383">
        <v>0</v>
      </c>
      <c r="BE328" s="383">
        <v>0</v>
      </c>
      <c r="BF328" s="383">
        <v>0</v>
      </c>
      <c r="BG328" s="383">
        <v>0</v>
      </c>
      <c r="BH328" s="383">
        <v>0</v>
      </c>
      <c r="BI328" s="383">
        <v>0</v>
      </c>
      <c r="BJ328" s="383">
        <v>0</v>
      </c>
      <c r="BK328" s="383">
        <v>0</v>
      </c>
      <c r="BL328" s="383">
        <v>0</v>
      </c>
      <c r="BM328" s="383">
        <v>0</v>
      </c>
      <c r="BN328" s="383">
        <v>0</v>
      </c>
      <c r="BO328" s="383">
        <v>0</v>
      </c>
      <c r="BP328" s="383">
        <v>0</v>
      </c>
      <c r="BQ328" s="383">
        <v>0</v>
      </c>
      <c r="BR328" s="383">
        <v>0</v>
      </c>
      <c r="BS328" s="383">
        <v>0</v>
      </c>
      <c r="BT328" s="383">
        <v>0</v>
      </c>
      <c r="BU328" s="383">
        <v>0</v>
      </c>
      <c r="BV328" s="383">
        <v>0</v>
      </c>
      <c r="BW328" s="383">
        <v>0</v>
      </c>
      <c r="BX328" s="383">
        <v>0</v>
      </c>
      <c r="BY328" s="383">
        <v>0</v>
      </c>
      <c r="BZ328" s="383">
        <v>0</v>
      </c>
      <c r="CA328" s="383">
        <v>0</v>
      </c>
      <c r="CB328" s="383">
        <v>0</v>
      </c>
      <c r="CC328" s="383">
        <v>0</v>
      </c>
      <c r="CD328" s="383">
        <v>0</v>
      </c>
      <c r="CE328" s="383">
        <v>0</v>
      </c>
      <c r="CF328" s="383">
        <v>0</v>
      </c>
      <c r="CG328" s="383">
        <v>0</v>
      </c>
      <c r="CH328" s="383">
        <v>0</v>
      </c>
      <c r="CI328" s="383">
        <v>0</v>
      </c>
      <c r="CJ328" s="383">
        <v>0</v>
      </c>
      <c r="CK328" s="383">
        <v>0</v>
      </c>
      <c r="CL328" s="383">
        <v>0</v>
      </c>
      <c r="CM328" s="383">
        <v>0</v>
      </c>
      <c r="CN328" s="383">
        <v>0</v>
      </c>
      <c r="CO328" s="383">
        <v>0</v>
      </c>
      <c r="CP328" s="383">
        <v>0</v>
      </c>
      <c r="CQ328" s="383">
        <v>0</v>
      </c>
      <c r="CR328" s="383">
        <v>0</v>
      </c>
      <c r="CS328" s="383">
        <v>0</v>
      </c>
      <c r="CT328" s="383">
        <v>0</v>
      </c>
      <c r="CU328" s="383">
        <v>0</v>
      </c>
      <c r="CV328" s="383">
        <v>0</v>
      </c>
      <c r="CW328" s="383">
        <v>0</v>
      </c>
      <c r="CX328" s="383">
        <v>0</v>
      </c>
      <c r="CY328" s="383">
        <v>0</v>
      </c>
      <c r="CZ328" s="383">
        <v>0</v>
      </c>
      <c r="DA328" s="383">
        <v>0</v>
      </c>
      <c r="DB328" s="383">
        <v>0</v>
      </c>
      <c r="DC328" s="383">
        <v>0</v>
      </c>
      <c r="DD328" s="383">
        <v>0</v>
      </c>
      <c r="DE328" s="383">
        <v>0</v>
      </c>
      <c r="DF328" s="383">
        <v>0</v>
      </c>
      <c r="DG328" s="383">
        <v>0</v>
      </c>
      <c r="DH328" s="383">
        <v>0</v>
      </c>
      <c r="DI328" s="383">
        <v>0</v>
      </c>
      <c r="DJ328" s="383">
        <v>0</v>
      </c>
      <c r="DK328" s="383">
        <v>0</v>
      </c>
      <c r="DL328" s="383">
        <v>0</v>
      </c>
      <c r="DM328" s="383">
        <v>0</v>
      </c>
      <c r="DN328" s="383">
        <v>0</v>
      </c>
      <c r="DO328" s="383">
        <v>0</v>
      </c>
      <c r="DP328" s="383">
        <v>0</v>
      </c>
      <c r="DQ328" s="383">
        <v>0</v>
      </c>
      <c r="DR328" s="383">
        <v>0</v>
      </c>
      <c r="DS328" s="383">
        <v>0</v>
      </c>
      <c r="DT328" s="383">
        <v>0</v>
      </c>
      <c r="DU328" s="383">
        <v>0</v>
      </c>
      <c r="DV328" s="383">
        <v>0</v>
      </c>
      <c r="DW328" s="556">
        <f t="shared" si="37"/>
        <v>0</v>
      </c>
      <c r="DX328" s="858">
        <f>DW328+DW329+DW330</f>
        <v>0</v>
      </c>
      <c r="DY328" s="704">
        <f>+DX328*1000000</f>
        <v>0</v>
      </c>
      <c r="DZ328" s="870">
        <f>+DY328-D328</f>
        <v>0</v>
      </c>
      <c r="EA328" s="873" t="str">
        <f>VLOOKUP(POA!$B328,INTERPLAN,28,0)</f>
        <v>N/A</v>
      </c>
      <c r="EB328" s="859" t="e">
        <f>+EDATE(EA328,C328)</f>
        <v>#VALUE!</v>
      </c>
      <c r="EC328" s="859" t="e">
        <f>EB328+30</f>
        <v>#VALUE!</v>
      </c>
      <c r="ED328" s="859" t="e">
        <f>CONCATENATE(MONTH(EA328),"-",YEAR(EA328))</f>
        <v>#VALUE!</v>
      </c>
      <c r="EE328" s="859" t="e">
        <f>CONCATENATE(MONTH(EB328),"-",YEAR(EB328))</f>
        <v>#VALUE!</v>
      </c>
      <c r="EF328" s="861" t="e">
        <f>CONCATENATE(MONTH(EC328),"-",YEAR(EC328))</f>
        <v>#VALUE!</v>
      </c>
      <c r="EG328" s="1105"/>
      <c r="EI328" s="858">
        <f>+DW328+DW329+DW330</f>
        <v>0</v>
      </c>
      <c r="EJ328" s="877">
        <f>+D328/1000000-EI328</f>
        <v>0</v>
      </c>
      <c r="ER328" s="497"/>
    </row>
    <row r="329" spans="1:148" s="278" customFormat="1" outlineLevel="2" x14ac:dyDescent="0.2">
      <c r="A329" s="1070"/>
      <c r="B329" s="886"/>
      <c r="C329" s="903"/>
      <c r="D329" s="864"/>
      <c r="E329" s="867"/>
      <c r="F329" s="311" t="s">
        <v>210</v>
      </c>
      <c r="G329" s="363">
        <v>0</v>
      </c>
      <c r="H329" s="363">
        <v>0</v>
      </c>
      <c r="I329" s="363">
        <v>0</v>
      </c>
      <c r="J329" s="363">
        <v>0</v>
      </c>
      <c r="K329" s="363">
        <v>0</v>
      </c>
      <c r="L329" s="363">
        <v>0</v>
      </c>
      <c r="M329" s="363">
        <v>0</v>
      </c>
      <c r="N329" s="363">
        <v>0</v>
      </c>
      <c r="O329" s="363">
        <v>0</v>
      </c>
      <c r="P329" s="363">
        <v>0</v>
      </c>
      <c r="Q329" s="363">
        <v>0</v>
      </c>
      <c r="R329" s="363">
        <v>0</v>
      </c>
      <c r="S329" s="363">
        <v>0</v>
      </c>
      <c r="T329" s="363">
        <v>0</v>
      </c>
      <c r="U329" s="363">
        <v>0</v>
      </c>
      <c r="V329" s="363">
        <v>0</v>
      </c>
      <c r="W329" s="363">
        <v>0</v>
      </c>
      <c r="X329" s="363">
        <v>0</v>
      </c>
      <c r="Y329" s="363">
        <v>0</v>
      </c>
      <c r="Z329" s="363">
        <v>0</v>
      </c>
      <c r="AA329" s="363">
        <v>0</v>
      </c>
      <c r="AB329" s="363">
        <v>0</v>
      </c>
      <c r="AC329" s="363">
        <v>0</v>
      </c>
      <c r="AD329" s="363">
        <v>0</v>
      </c>
      <c r="AE329" s="363">
        <v>0</v>
      </c>
      <c r="AF329" s="363">
        <v>0</v>
      </c>
      <c r="AG329" s="363">
        <v>0</v>
      </c>
      <c r="AH329" s="363">
        <v>0</v>
      </c>
      <c r="AI329" s="363">
        <v>0</v>
      </c>
      <c r="AJ329" s="363">
        <v>0</v>
      </c>
      <c r="AK329" s="363">
        <v>0</v>
      </c>
      <c r="AL329" s="363">
        <v>0</v>
      </c>
      <c r="AM329" s="363">
        <v>0</v>
      </c>
      <c r="AN329" s="363">
        <v>0</v>
      </c>
      <c r="AO329" s="363">
        <v>0</v>
      </c>
      <c r="AP329" s="363">
        <v>0</v>
      </c>
      <c r="AQ329" s="363">
        <v>0</v>
      </c>
      <c r="AR329" s="363">
        <v>0</v>
      </c>
      <c r="AS329" s="363">
        <v>0</v>
      </c>
      <c r="AT329" s="363">
        <v>0</v>
      </c>
      <c r="AU329" s="363">
        <v>0</v>
      </c>
      <c r="AV329" s="363">
        <v>0</v>
      </c>
      <c r="AW329" s="363">
        <v>0</v>
      </c>
      <c r="AX329" s="363">
        <v>0</v>
      </c>
      <c r="AY329" s="363">
        <v>0</v>
      </c>
      <c r="AZ329" s="363">
        <v>0</v>
      </c>
      <c r="BA329" s="363">
        <v>0</v>
      </c>
      <c r="BB329" s="363">
        <v>0</v>
      </c>
      <c r="BC329" s="363">
        <v>0</v>
      </c>
      <c r="BD329" s="363">
        <v>0</v>
      </c>
      <c r="BE329" s="363">
        <v>0</v>
      </c>
      <c r="BF329" s="363">
        <v>0</v>
      </c>
      <c r="BG329" s="363">
        <v>0</v>
      </c>
      <c r="BH329" s="363">
        <v>0</v>
      </c>
      <c r="BI329" s="363">
        <v>0</v>
      </c>
      <c r="BJ329" s="363">
        <v>0</v>
      </c>
      <c r="BK329" s="363">
        <v>0</v>
      </c>
      <c r="BL329" s="363">
        <v>0</v>
      </c>
      <c r="BM329" s="363">
        <v>0</v>
      </c>
      <c r="BN329" s="363">
        <v>0</v>
      </c>
      <c r="BO329" s="363">
        <v>0</v>
      </c>
      <c r="BP329" s="363">
        <v>0</v>
      </c>
      <c r="BQ329" s="363">
        <v>0</v>
      </c>
      <c r="BR329" s="363">
        <v>0</v>
      </c>
      <c r="BS329" s="363">
        <v>0</v>
      </c>
      <c r="BT329" s="363">
        <v>0</v>
      </c>
      <c r="BU329" s="363">
        <v>0</v>
      </c>
      <c r="BV329" s="363">
        <v>0</v>
      </c>
      <c r="BW329" s="363">
        <v>0</v>
      </c>
      <c r="BX329" s="363">
        <v>0</v>
      </c>
      <c r="BY329" s="363">
        <v>0</v>
      </c>
      <c r="BZ329" s="363">
        <v>0</v>
      </c>
      <c r="CA329" s="363">
        <v>0</v>
      </c>
      <c r="CB329" s="363">
        <v>0</v>
      </c>
      <c r="CC329" s="363">
        <v>0</v>
      </c>
      <c r="CD329" s="363">
        <v>0</v>
      </c>
      <c r="CE329" s="363">
        <v>0</v>
      </c>
      <c r="CF329" s="363">
        <v>0</v>
      </c>
      <c r="CG329" s="363">
        <v>0</v>
      </c>
      <c r="CH329" s="363">
        <v>0</v>
      </c>
      <c r="CI329" s="363">
        <v>0</v>
      </c>
      <c r="CJ329" s="363">
        <v>0</v>
      </c>
      <c r="CK329" s="363">
        <v>0</v>
      </c>
      <c r="CL329" s="363">
        <v>0</v>
      </c>
      <c r="CM329" s="363">
        <v>0</v>
      </c>
      <c r="CN329" s="363">
        <v>0</v>
      </c>
      <c r="CO329" s="363">
        <v>0</v>
      </c>
      <c r="CP329" s="363">
        <v>0</v>
      </c>
      <c r="CQ329" s="363">
        <v>0</v>
      </c>
      <c r="CR329" s="363">
        <v>0</v>
      </c>
      <c r="CS329" s="363">
        <v>0</v>
      </c>
      <c r="CT329" s="363">
        <v>0</v>
      </c>
      <c r="CU329" s="363">
        <v>0</v>
      </c>
      <c r="CV329" s="363">
        <v>0</v>
      </c>
      <c r="CW329" s="363">
        <v>0</v>
      </c>
      <c r="CX329" s="363">
        <v>0</v>
      </c>
      <c r="CY329" s="363">
        <v>0</v>
      </c>
      <c r="CZ329" s="363">
        <v>0</v>
      </c>
      <c r="DA329" s="363">
        <v>0</v>
      </c>
      <c r="DB329" s="363">
        <v>0</v>
      </c>
      <c r="DC329" s="363">
        <v>0</v>
      </c>
      <c r="DD329" s="363">
        <v>0</v>
      </c>
      <c r="DE329" s="363">
        <v>0</v>
      </c>
      <c r="DF329" s="363">
        <v>0</v>
      </c>
      <c r="DG329" s="363">
        <v>0</v>
      </c>
      <c r="DH329" s="363">
        <v>0</v>
      </c>
      <c r="DI329" s="363">
        <v>0</v>
      </c>
      <c r="DJ329" s="363">
        <v>0</v>
      </c>
      <c r="DK329" s="363">
        <v>0</v>
      </c>
      <c r="DL329" s="363">
        <v>0</v>
      </c>
      <c r="DM329" s="363">
        <v>0</v>
      </c>
      <c r="DN329" s="363">
        <v>0</v>
      </c>
      <c r="DO329" s="363">
        <v>0</v>
      </c>
      <c r="DP329" s="363">
        <v>0</v>
      </c>
      <c r="DQ329" s="363">
        <v>0</v>
      </c>
      <c r="DR329" s="363">
        <v>0</v>
      </c>
      <c r="DS329" s="363">
        <v>0</v>
      </c>
      <c r="DT329" s="363">
        <v>0</v>
      </c>
      <c r="DU329" s="363">
        <v>0</v>
      </c>
      <c r="DV329" s="363">
        <v>0</v>
      </c>
      <c r="DW329" s="544">
        <f t="shared" si="37"/>
        <v>0</v>
      </c>
      <c r="DX329" s="858"/>
      <c r="DY329" s="705"/>
      <c r="DZ329" s="871"/>
      <c r="EA329" s="873"/>
      <c r="EB329" s="859"/>
      <c r="EC329" s="859"/>
      <c r="ED329" s="859"/>
      <c r="EE329" s="859"/>
      <c r="EF329" s="861"/>
      <c r="EG329" s="1106"/>
      <c r="EI329" s="858"/>
      <c r="EJ329" s="877"/>
      <c r="ER329" s="497"/>
    </row>
    <row r="330" spans="1:148" s="278" customFormat="1" ht="12.75" outlineLevel="2" thickBot="1" x14ac:dyDescent="0.25">
      <c r="A330" s="1071"/>
      <c r="B330" s="887"/>
      <c r="C330" s="904"/>
      <c r="D330" s="865"/>
      <c r="E330" s="868"/>
      <c r="F330" s="315" t="s">
        <v>211</v>
      </c>
      <c r="G330" s="364">
        <v>0</v>
      </c>
      <c r="H330" s="364">
        <v>0</v>
      </c>
      <c r="I330" s="364">
        <v>0</v>
      </c>
      <c r="J330" s="364">
        <v>0</v>
      </c>
      <c r="K330" s="364">
        <v>0</v>
      </c>
      <c r="L330" s="364">
        <v>0</v>
      </c>
      <c r="M330" s="364">
        <v>0</v>
      </c>
      <c r="N330" s="364">
        <v>0</v>
      </c>
      <c r="O330" s="364">
        <v>0</v>
      </c>
      <c r="P330" s="364">
        <v>0</v>
      </c>
      <c r="Q330" s="364">
        <v>0</v>
      </c>
      <c r="R330" s="364">
        <v>0</v>
      </c>
      <c r="S330" s="364">
        <v>0</v>
      </c>
      <c r="T330" s="364">
        <v>0</v>
      </c>
      <c r="U330" s="364">
        <v>0</v>
      </c>
      <c r="V330" s="364">
        <v>0</v>
      </c>
      <c r="W330" s="364">
        <v>0</v>
      </c>
      <c r="X330" s="364">
        <v>0</v>
      </c>
      <c r="Y330" s="364">
        <v>0</v>
      </c>
      <c r="Z330" s="364">
        <v>0</v>
      </c>
      <c r="AA330" s="364">
        <v>0</v>
      </c>
      <c r="AB330" s="364">
        <v>0</v>
      </c>
      <c r="AC330" s="364">
        <v>0</v>
      </c>
      <c r="AD330" s="364">
        <v>0</v>
      </c>
      <c r="AE330" s="364">
        <v>0</v>
      </c>
      <c r="AF330" s="364">
        <v>0</v>
      </c>
      <c r="AG330" s="364">
        <v>0</v>
      </c>
      <c r="AH330" s="364">
        <v>0</v>
      </c>
      <c r="AI330" s="364">
        <v>0</v>
      </c>
      <c r="AJ330" s="364">
        <v>0</v>
      </c>
      <c r="AK330" s="364">
        <v>0</v>
      </c>
      <c r="AL330" s="364">
        <v>0</v>
      </c>
      <c r="AM330" s="364">
        <v>0</v>
      </c>
      <c r="AN330" s="364">
        <v>0</v>
      </c>
      <c r="AO330" s="364">
        <v>0</v>
      </c>
      <c r="AP330" s="364">
        <v>0</v>
      </c>
      <c r="AQ330" s="364">
        <v>0</v>
      </c>
      <c r="AR330" s="364">
        <v>0</v>
      </c>
      <c r="AS330" s="364">
        <v>0</v>
      </c>
      <c r="AT330" s="364">
        <v>0</v>
      </c>
      <c r="AU330" s="364">
        <v>0</v>
      </c>
      <c r="AV330" s="364">
        <v>0</v>
      </c>
      <c r="AW330" s="364">
        <v>0</v>
      </c>
      <c r="AX330" s="364">
        <v>0</v>
      </c>
      <c r="AY330" s="364">
        <v>0</v>
      </c>
      <c r="AZ330" s="364">
        <v>0</v>
      </c>
      <c r="BA330" s="364">
        <v>0</v>
      </c>
      <c r="BB330" s="364">
        <v>0</v>
      </c>
      <c r="BC330" s="363">
        <v>0</v>
      </c>
      <c r="BD330" s="363">
        <v>0</v>
      </c>
      <c r="BE330" s="363">
        <v>0</v>
      </c>
      <c r="BF330" s="363">
        <v>0</v>
      </c>
      <c r="BG330" s="363">
        <v>0</v>
      </c>
      <c r="BH330" s="363">
        <v>0</v>
      </c>
      <c r="BI330" s="363">
        <v>0</v>
      </c>
      <c r="BJ330" s="363">
        <v>0</v>
      </c>
      <c r="BK330" s="363">
        <v>0</v>
      </c>
      <c r="BL330" s="363">
        <v>0</v>
      </c>
      <c r="BM330" s="363">
        <v>0</v>
      </c>
      <c r="BN330" s="363">
        <v>0</v>
      </c>
      <c r="BO330" s="363">
        <v>0</v>
      </c>
      <c r="BP330" s="363">
        <v>0</v>
      </c>
      <c r="BQ330" s="363">
        <v>0</v>
      </c>
      <c r="BR330" s="363">
        <v>0</v>
      </c>
      <c r="BS330" s="363">
        <v>0</v>
      </c>
      <c r="BT330" s="363">
        <v>0</v>
      </c>
      <c r="BU330" s="363">
        <v>0</v>
      </c>
      <c r="BV330" s="363">
        <v>0</v>
      </c>
      <c r="BW330" s="363">
        <v>0</v>
      </c>
      <c r="BX330" s="363">
        <v>0</v>
      </c>
      <c r="BY330" s="363">
        <v>0</v>
      </c>
      <c r="BZ330" s="363">
        <v>0</v>
      </c>
      <c r="CA330" s="363">
        <v>0</v>
      </c>
      <c r="CB330" s="363">
        <v>0</v>
      </c>
      <c r="CC330" s="363">
        <v>0</v>
      </c>
      <c r="CD330" s="363">
        <v>0</v>
      </c>
      <c r="CE330" s="363">
        <v>0</v>
      </c>
      <c r="CF330" s="363">
        <v>0</v>
      </c>
      <c r="CG330" s="363">
        <v>0</v>
      </c>
      <c r="CH330" s="363">
        <v>0</v>
      </c>
      <c r="CI330" s="363">
        <v>0</v>
      </c>
      <c r="CJ330" s="363">
        <v>0</v>
      </c>
      <c r="CK330" s="363">
        <v>0</v>
      </c>
      <c r="CL330" s="363">
        <v>0</v>
      </c>
      <c r="CM330" s="363">
        <v>0</v>
      </c>
      <c r="CN330" s="363">
        <v>0</v>
      </c>
      <c r="CO330" s="363">
        <v>0</v>
      </c>
      <c r="CP330" s="363">
        <v>0</v>
      </c>
      <c r="CQ330" s="363">
        <v>0</v>
      </c>
      <c r="CR330" s="363">
        <v>0</v>
      </c>
      <c r="CS330" s="363">
        <v>0</v>
      </c>
      <c r="CT330" s="363">
        <v>0</v>
      </c>
      <c r="CU330" s="363">
        <v>0</v>
      </c>
      <c r="CV330" s="363">
        <v>0</v>
      </c>
      <c r="CW330" s="363">
        <v>0</v>
      </c>
      <c r="CX330" s="363">
        <v>0</v>
      </c>
      <c r="CY330" s="363">
        <v>0</v>
      </c>
      <c r="CZ330" s="363"/>
      <c r="DA330" s="363"/>
      <c r="DB330" s="363"/>
      <c r="DC330" s="363"/>
      <c r="DD330" s="363"/>
      <c r="DE330" s="363"/>
      <c r="DF330" s="363"/>
      <c r="DG330" s="363"/>
      <c r="DH330" s="363"/>
      <c r="DI330" s="363"/>
      <c r="DJ330" s="363">
        <v>0</v>
      </c>
      <c r="DK330" s="363">
        <v>0</v>
      </c>
      <c r="DL330" s="363"/>
      <c r="DM330" s="363"/>
      <c r="DN330" s="363">
        <v>0</v>
      </c>
      <c r="DO330" s="363">
        <v>0</v>
      </c>
      <c r="DP330" s="363">
        <v>0</v>
      </c>
      <c r="DQ330" s="363">
        <v>0</v>
      </c>
      <c r="DR330" s="364">
        <v>0</v>
      </c>
      <c r="DS330" s="364">
        <v>0</v>
      </c>
      <c r="DT330" s="364">
        <v>0</v>
      </c>
      <c r="DU330" s="364">
        <v>0</v>
      </c>
      <c r="DV330" s="364">
        <v>0</v>
      </c>
      <c r="DW330" s="545">
        <f t="shared" si="37"/>
        <v>0</v>
      </c>
      <c r="DX330" s="858"/>
      <c r="DY330" s="706"/>
      <c r="DZ330" s="872"/>
      <c r="EA330" s="873"/>
      <c r="EB330" s="859"/>
      <c r="EC330" s="859"/>
      <c r="ED330" s="859"/>
      <c r="EE330" s="859"/>
      <c r="EF330" s="861"/>
      <c r="EG330" s="1107"/>
      <c r="EI330" s="858"/>
      <c r="EJ330" s="877"/>
      <c r="ER330" s="497"/>
    </row>
    <row r="331" spans="1:148" s="278" customFormat="1" ht="24" outlineLevel="2" x14ac:dyDescent="0.2">
      <c r="A331" s="1069"/>
      <c r="B331" s="897" t="s">
        <v>193</v>
      </c>
      <c r="C331" s="902">
        <v>10</v>
      </c>
      <c r="D331" s="863">
        <f>+IFERROR(VLOOKUP(B331,'Detalle Plan de Adquisiciones'!$G$53:$L$153,6,FALSE),0)</f>
        <v>0</v>
      </c>
      <c r="E331" s="866" t="str">
        <f>+'Detalle Plan de Adquisiciones'!F139</f>
        <v>INTERVENTORÍA TÉCNICA, ADMINISTRATIVA, FINANCIERA Y AMBIENTAL AL CONTRATO CUYO OBJETO ES: PATIO 3</v>
      </c>
      <c r="F331" s="312" t="s">
        <v>410</v>
      </c>
      <c r="G331" s="354">
        <v>0</v>
      </c>
      <c r="H331" s="354">
        <v>0</v>
      </c>
      <c r="I331" s="354">
        <v>0</v>
      </c>
      <c r="J331" s="354">
        <v>0</v>
      </c>
      <c r="K331" s="354">
        <v>0</v>
      </c>
      <c r="L331" s="354">
        <v>0</v>
      </c>
      <c r="M331" s="354">
        <v>0</v>
      </c>
      <c r="N331" s="354">
        <v>0</v>
      </c>
      <c r="O331" s="354">
        <v>0</v>
      </c>
      <c r="P331" s="354">
        <v>0</v>
      </c>
      <c r="Q331" s="354">
        <v>0</v>
      </c>
      <c r="R331" s="354">
        <v>0</v>
      </c>
      <c r="S331" s="354">
        <v>0</v>
      </c>
      <c r="T331" s="354">
        <v>0</v>
      </c>
      <c r="U331" s="354">
        <v>0</v>
      </c>
      <c r="V331" s="354">
        <v>0</v>
      </c>
      <c r="W331" s="354">
        <v>0</v>
      </c>
      <c r="X331" s="354">
        <v>0</v>
      </c>
      <c r="Y331" s="354">
        <v>0</v>
      </c>
      <c r="Z331" s="354">
        <v>0</v>
      </c>
      <c r="AA331" s="354">
        <v>0</v>
      </c>
      <c r="AB331" s="354">
        <v>0</v>
      </c>
      <c r="AC331" s="354">
        <v>0</v>
      </c>
      <c r="AD331" s="354">
        <v>0</v>
      </c>
      <c r="AE331" s="354">
        <v>0</v>
      </c>
      <c r="AF331" s="354">
        <v>0</v>
      </c>
      <c r="AG331" s="354">
        <v>0</v>
      </c>
      <c r="AH331" s="354">
        <v>0</v>
      </c>
      <c r="AI331" s="354">
        <v>0</v>
      </c>
      <c r="AJ331" s="354">
        <v>0</v>
      </c>
      <c r="AK331" s="354">
        <v>0</v>
      </c>
      <c r="AL331" s="354">
        <v>0</v>
      </c>
      <c r="AM331" s="354">
        <v>0</v>
      </c>
      <c r="AN331" s="354">
        <v>0</v>
      </c>
      <c r="AO331" s="354">
        <v>0</v>
      </c>
      <c r="AP331" s="354">
        <v>0</v>
      </c>
      <c r="AQ331" s="354">
        <v>0</v>
      </c>
      <c r="AR331" s="354">
        <v>0</v>
      </c>
      <c r="AS331" s="354">
        <v>0</v>
      </c>
      <c r="AT331" s="354">
        <v>0</v>
      </c>
      <c r="AU331" s="354">
        <v>0</v>
      </c>
      <c r="AV331" s="354">
        <v>0</v>
      </c>
      <c r="AW331" s="354">
        <v>0</v>
      </c>
      <c r="AX331" s="354">
        <v>0</v>
      </c>
      <c r="AY331" s="354">
        <v>0</v>
      </c>
      <c r="AZ331" s="354">
        <v>0</v>
      </c>
      <c r="BA331" s="354">
        <v>0</v>
      </c>
      <c r="BB331" s="354">
        <v>0</v>
      </c>
      <c r="BC331" s="363">
        <v>0</v>
      </c>
      <c r="BD331" s="363">
        <v>0</v>
      </c>
      <c r="BE331" s="363">
        <v>0</v>
      </c>
      <c r="BF331" s="363">
        <v>0</v>
      </c>
      <c r="BG331" s="363">
        <v>0</v>
      </c>
      <c r="BH331" s="363">
        <v>0</v>
      </c>
      <c r="BI331" s="363">
        <v>0</v>
      </c>
      <c r="BJ331" s="363">
        <v>0</v>
      </c>
      <c r="BK331" s="363">
        <v>0</v>
      </c>
      <c r="BL331" s="363">
        <v>0</v>
      </c>
      <c r="BM331" s="363">
        <v>0</v>
      </c>
      <c r="BN331" s="363">
        <v>0</v>
      </c>
      <c r="BO331" s="363">
        <v>0</v>
      </c>
      <c r="BP331" s="363">
        <v>0</v>
      </c>
      <c r="BQ331" s="363">
        <v>0</v>
      </c>
      <c r="BR331" s="363">
        <v>0</v>
      </c>
      <c r="BS331" s="363">
        <v>0</v>
      </c>
      <c r="BT331" s="363">
        <v>0</v>
      </c>
      <c r="BU331" s="363">
        <v>0</v>
      </c>
      <c r="BV331" s="363">
        <v>0</v>
      </c>
      <c r="BW331" s="363">
        <v>0</v>
      </c>
      <c r="BX331" s="363">
        <v>0</v>
      </c>
      <c r="BY331" s="363">
        <v>0</v>
      </c>
      <c r="BZ331" s="363">
        <v>0</v>
      </c>
      <c r="CA331" s="363">
        <v>0</v>
      </c>
      <c r="CB331" s="363">
        <v>0</v>
      </c>
      <c r="CC331" s="363">
        <v>0</v>
      </c>
      <c r="CD331" s="363">
        <v>0</v>
      </c>
      <c r="CE331" s="363">
        <v>0</v>
      </c>
      <c r="CF331" s="363">
        <v>0</v>
      </c>
      <c r="CG331" s="363">
        <v>0</v>
      </c>
      <c r="CH331" s="363">
        <v>0</v>
      </c>
      <c r="CI331" s="363">
        <v>0</v>
      </c>
      <c r="CJ331" s="363">
        <v>0</v>
      </c>
      <c r="CK331" s="363">
        <v>0</v>
      </c>
      <c r="CL331" s="363">
        <v>0</v>
      </c>
      <c r="CM331" s="363">
        <v>0</v>
      </c>
      <c r="CN331" s="363">
        <v>0</v>
      </c>
      <c r="CO331" s="363">
        <v>0</v>
      </c>
      <c r="CP331" s="363">
        <v>0</v>
      </c>
      <c r="CQ331" s="363">
        <v>0</v>
      </c>
      <c r="CR331" s="363">
        <v>0</v>
      </c>
      <c r="CS331" s="363">
        <v>0</v>
      </c>
      <c r="CT331" s="363">
        <v>0</v>
      </c>
      <c r="CU331" s="363">
        <v>0</v>
      </c>
      <c r="CV331" s="363">
        <v>0</v>
      </c>
      <c r="CW331" s="363">
        <v>0</v>
      </c>
      <c r="CX331" s="363">
        <v>0</v>
      </c>
      <c r="CY331" s="363">
        <v>0</v>
      </c>
      <c r="CZ331" s="363">
        <v>0</v>
      </c>
      <c r="DA331" s="363">
        <v>0</v>
      </c>
      <c r="DB331" s="363">
        <v>0</v>
      </c>
      <c r="DC331" s="363">
        <v>0</v>
      </c>
      <c r="DD331" s="363">
        <v>0</v>
      </c>
      <c r="DE331" s="363">
        <v>0</v>
      </c>
      <c r="DF331" s="363">
        <v>0</v>
      </c>
      <c r="DG331" s="363">
        <v>0</v>
      </c>
      <c r="DH331" s="363">
        <v>0</v>
      </c>
      <c r="DI331" s="363">
        <v>0</v>
      </c>
      <c r="DJ331" s="363">
        <v>0</v>
      </c>
      <c r="DK331" s="363">
        <v>0</v>
      </c>
      <c r="DL331" s="363">
        <v>0</v>
      </c>
      <c r="DM331" s="363">
        <f>+DL330-DM330</f>
        <v>0</v>
      </c>
      <c r="DN331" s="363">
        <v>0</v>
      </c>
      <c r="DO331" s="363">
        <v>0</v>
      </c>
      <c r="DP331" s="363">
        <v>0</v>
      </c>
      <c r="DQ331" s="363">
        <v>0</v>
      </c>
      <c r="DR331" s="354">
        <v>0</v>
      </c>
      <c r="DS331" s="354">
        <v>0</v>
      </c>
      <c r="DT331" s="354">
        <v>0</v>
      </c>
      <c r="DU331" s="354">
        <v>0</v>
      </c>
      <c r="DV331" s="354">
        <v>0</v>
      </c>
      <c r="DW331" s="543">
        <f t="shared" ref="DW331:DW378" si="38">SUM(G331:DV331)</f>
        <v>0</v>
      </c>
      <c r="DX331" s="858">
        <f>DW331+DW332+DW333</f>
        <v>0</v>
      </c>
      <c r="DY331" s="704">
        <f>+DX331*1000000</f>
        <v>0</v>
      </c>
      <c r="DZ331" s="870">
        <f>+DY331-D331</f>
        <v>0</v>
      </c>
      <c r="EA331" s="873" t="str">
        <f>VLOOKUP(POA!$B331,INTERPLAN,28,0)</f>
        <v>N/A</v>
      </c>
      <c r="EB331" s="859" t="e">
        <f>+EDATE(EA331,C331)</f>
        <v>#VALUE!</v>
      </c>
      <c r="EC331" s="859" t="e">
        <f>EB331+30</f>
        <v>#VALUE!</v>
      </c>
      <c r="ED331" s="859" t="e">
        <f>CONCATENATE(MONTH(EA331),"-",YEAR(EA331))</f>
        <v>#VALUE!</v>
      </c>
      <c r="EE331" s="859" t="e">
        <f>CONCATENATE(MONTH(EB331),"-",YEAR(EB331))</f>
        <v>#VALUE!</v>
      </c>
      <c r="EF331" s="861" t="e">
        <f>CONCATENATE(MONTH(EC331),"-",YEAR(EC331))</f>
        <v>#VALUE!</v>
      </c>
      <c r="EG331" s="1105"/>
      <c r="EI331" s="858">
        <f>+DW331+DW332+DW333</f>
        <v>0</v>
      </c>
      <c r="EJ331" s="877">
        <f>+D331/1000000-EI331</f>
        <v>0</v>
      </c>
      <c r="ER331" s="497"/>
    </row>
    <row r="332" spans="1:148" s="278" customFormat="1" outlineLevel="2" x14ac:dyDescent="0.2">
      <c r="A332" s="1070"/>
      <c r="B332" s="886"/>
      <c r="C332" s="903"/>
      <c r="D332" s="864"/>
      <c r="E332" s="867"/>
      <c r="F332" s="311" t="s">
        <v>210</v>
      </c>
      <c r="G332" s="363">
        <v>0</v>
      </c>
      <c r="H332" s="363">
        <v>0</v>
      </c>
      <c r="I332" s="363">
        <v>0</v>
      </c>
      <c r="J332" s="363">
        <v>0</v>
      </c>
      <c r="K332" s="363">
        <v>0</v>
      </c>
      <c r="L332" s="363">
        <v>0</v>
      </c>
      <c r="M332" s="363">
        <v>0</v>
      </c>
      <c r="N332" s="363">
        <v>0</v>
      </c>
      <c r="O332" s="363">
        <v>0</v>
      </c>
      <c r="P332" s="363">
        <v>0</v>
      </c>
      <c r="Q332" s="363">
        <v>0</v>
      </c>
      <c r="R332" s="363">
        <v>0</v>
      </c>
      <c r="S332" s="363">
        <v>0</v>
      </c>
      <c r="T332" s="363">
        <v>0</v>
      </c>
      <c r="U332" s="363">
        <v>0</v>
      </c>
      <c r="V332" s="363">
        <v>0</v>
      </c>
      <c r="W332" s="363">
        <v>0</v>
      </c>
      <c r="X332" s="363">
        <v>0</v>
      </c>
      <c r="Y332" s="363">
        <v>0</v>
      </c>
      <c r="Z332" s="363">
        <v>0</v>
      </c>
      <c r="AA332" s="363">
        <v>0</v>
      </c>
      <c r="AB332" s="363">
        <v>0</v>
      </c>
      <c r="AC332" s="363">
        <v>0</v>
      </c>
      <c r="AD332" s="363">
        <v>0</v>
      </c>
      <c r="AE332" s="363">
        <v>0</v>
      </c>
      <c r="AF332" s="363">
        <v>0</v>
      </c>
      <c r="AG332" s="363">
        <v>0</v>
      </c>
      <c r="AH332" s="363">
        <v>0</v>
      </c>
      <c r="AI332" s="363">
        <v>0</v>
      </c>
      <c r="AJ332" s="363">
        <v>0</v>
      </c>
      <c r="AK332" s="363">
        <v>0</v>
      </c>
      <c r="AL332" s="363">
        <v>0</v>
      </c>
      <c r="AM332" s="363">
        <v>0</v>
      </c>
      <c r="AN332" s="363">
        <v>0</v>
      </c>
      <c r="AO332" s="363">
        <v>0</v>
      </c>
      <c r="AP332" s="363">
        <v>0</v>
      </c>
      <c r="AQ332" s="363">
        <v>0</v>
      </c>
      <c r="AR332" s="363">
        <v>0</v>
      </c>
      <c r="AS332" s="363">
        <v>0</v>
      </c>
      <c r="AT332" s="363">
        <v>0</v>
      </c>
      <c r="AU332" s="363">
        <v>0</v>
      </c>
      <c r="AV332" s="363">
        <v>0</v>
      </c>
      <c r="AW332" s="363">
        <v>0</v>
      </c>
      <c r="AX332" s="363">
        <v>0</v>
      </c>
      <c r="AY332" s="363">
        <v>0</v>
      </c>
      <c r="AZ332" s="363">
        <v>0</v>
      </c>
      <c r="BA332" s="363">
        <v>0</v>
      </c>
      <c r="BB332" s="363">
        <v>0</v>
      </c>
      <c r="BC332" s="363">
        <v>0</v>
      </c>
      <c r="BD332" s="363">
        <v>0</v>
      </c>
      <c r="BE332" s="363">
        <v>0</v>
      </c>
      <c r="BF332" s="363">
        <v>0</v>
      </c>
      <c r="BG332" s="363">
        <v>0</v>
      </c>
      <c r="BH332" s="363">
        <v>0</v>
      </c>
      <c r="BI332" s="363">
        <v>0</v>
      </c>
      <c r="BJ332" s="363">
        <v>0</v>
      </c>
      <c r="BK332" s="363">
        <v>0</v>
      </c>
      <c r="BL332" s="363">
        <v>0</v>
      </c>
      <c r="BM332" s="363">
        <v>0</v>
      </c>
      <c r="BN332" s="363">
        <v>0</v>
      </c>
      <c r="BO332" s="363">
        <v>0</v>
      </c>
      <c r="BP332" s="363">
        <v>0</v>
      </c>
      <c r="BQ332" s="363">
        <v>0</v>
      </c>
      <c r="BR332" s="363">
        <v>0</v>
      </c>
      <c r="BS332" s="363">
        <v>0</v>
      </c>
      <c r="BT332" s="363">
        <v>0</v>
      </c>
      <c r="BU332" s="363">
        <v>0</v>
      </c>
      <c r="BV332" s="363">
        <v>0</v>
      </c>
      <c r="BW332" s="363">
        <v>0</v>
      </c>
      <c r="BX332" s="363">
        <v>0</v>
      </c>
      <c r="BY332" s="363">
        <v>0</v>
      </c>
      <c r="BZ332" s="363">
        <v>0</v>
      </c>
      <c r="CA332" s="363">
        <v>0</v>
      </c>
      <c r="CB332" s="363">
        <v>0</v>
      </c>
      <c r="CC332" s="363">
        <v>0</v>
      </c>
      <c r="CD332" s="363">
        <v>0</v>
      </c>
      <c r="CE332" s="363">
        <v>0</v>
      </c>
      <c r="CF332" s="363">
        <v>0</v>
      </c>
      <c r="CG332" s="363">
        <v>0</v>
      </c>
      <c r="CH332" s="363">
        <v>0</v>
      </c>
      <c r="CI332" s="363">
        <v>0</v>
      </c>
      <c r="CJ332" s="363">
        <v>0</v>
      </c>
      <c r="CK332" s="363">
        <v>0</v>
      </c>
      <c r="CL332" s="363">
        <v>0</v>
      </c>
      <c r="CM332" s="363">
        <v>0</v>
      </c>
      <c r="CN332" s="363">
        <v>0</v>
      </c>
      <c r="CO332" s="363">
        <v>0</v>
      </c>
      <c r="CP332" s="363">
        <v>0</v>
      </c>
      <c r="CQ332" s="363">
        <v>0</v>
      </c>
      <c r="CR332" s="363">
        <v>0</v>
      </c>
      <c r="CS332" s="363">
        <v>0</v>
      </c>
      <c r="CT332" s="363">
        <v>0</v>
      </c>
      <c r="CU332" s="363">
        <v>0</v>
      </c>
      <c r="CV332" s="363">
        <v>0</v>
      </c>
      <c r="CW332" s="363">
        <v>0</v>
      </c>
      <c r="CX332" s="363">
        <v>0</v>
      </c>
      <c r="CY332" s="363">
        <v>0</v>
      </c>
      <c r="CZ332" s="363">
        <v>0</v>
      </c>
      <c r="DA332" s="363">
        <v>0</v>
      </c>
      <c r="DB332" s="363">
        <v>0</v>
      </c>
      <c r="DC332" s="363">
        <v>0</v>
      </c>
      <c r="DD332" s="363">
        <v>0</v>
      </c>
      <c r="DE332" s="363">
        <v>0</v>
      </c>
      <c r="DF332" s="363">
        <v>0</v>
      </c>
      <c r="DG332" s="363">
        <v>0</v>
      </c>
      <c r="DH332" s="363">
        <v>0</v>
      </c>
      <c r="DI332" s="363">
        <v>0</v>
      </c>
      <c r="DJ332" s="363">
        <v>0</v>
      </c>
      <c r="DK332" s="363">
        <v>0</v>
      </c>
      <c r="DL332" s="363">
        <v>0</v>
      </c>
      <c r="DM332" s="363">
        <v>0</v>
      </c>
      <c r="DN332" s="363">
        <v>0</v>
      </c>
      <c r="DO332" s="363">
        <v>0</v>
      </c>
      <c r="DP332" s="363">
        <v>0</v>
      </c>
      <c r="DQ332" s="363">
        <v>0</v>
      </c>
      <c r="DR332" s="363">
        <v>0</v>
      </c>
      <c r="DS332" s="363">
        <v>0</v>
      </c>
      <c r="DT332" s="363">
        <v>0</v>
      </c>
      <c r="DU332" s="363">
        <v>0</v>
      </c>
      <c r="DV332" s="363">
        <v>0</v>
      </c>
      <c r="DW332" s="544">
        <f t="shared" si="38"/>
        <v>0</v>
      </c>
      <c r="DX332" s="858"/>
      <c r="DY332" s="705"/>
      <c r="DZ332" s="871"/>
      <c r="EA332" s="873"/>
      <c r="EB332" s="859"/>
      <c r="EC332" s="859"/>
      <c r="ED332" s="859"/>
      <c r="EE332" s="859"/>
      <c r="EF332" s="861"/>
      <c r="EG332" s="1106"/>
      <c r="EI332" s="858"/>
      <c r="EJ332" s="877"/>
      <c r="ER332" s="497"/>
    </row>
    <row r="333" spans="1:148" s="278" customFormat="1" ht="12.75" outlineLevel="2" thickBot="1" x14ac:dyDescent="0.25">
      <c r="A333" s="1073"/>
      <c r="B333" s="908"/>
      <c r="C333" s="909"/>
      <c r="D333" s="876"/>
      <c r="E333" s="875"/>
      <c r="F333" s="313" t="s">
        <v>211</v>
      </c>
      <c r="G333" s="364">
        <v>0</v>
      </c>
      <c r="H333" s="364">
        <v>0</v>
      </c>
      <c r="I333" s="364">
        <v>0</v>
      </c>
      <c r="J333" s="364">
        <v>0</v>
      </c>
      <c r="K333" s="364">
        <v>0</v>
      </c>
      <c r="L333" s="364">
        <v>0</v>
      </c>
      <c r="M333" s="364">
        <v>0</v>
      </c>
      <c r="N333" s="364">
        <v>0</v>
      </c>
      <c r="O333" s="364">
        <v>0</v>
      </c>
      <c r="P333" s="364">
        <v>0</v>
      </c>
      <c r="Q333" s="364">
        <v>0</v>
      </c>
      <c r="R333" s="364">
        <v>0</v>
      </c>
      <c r="S333" s="364">
        <v>0</v>
      </c>
      <c r="T333" s="364">
        <v>0</v>
      </c>
      <c r="U333" s="364">
        <v>0</v>
      </c>
      <c r="V333" s="364">
        <v>0</v>
      </c>
      <c r="W333" s="364">
        <v>0</v>
      </c>
      <c r="X333" s="364">
        <v>0</v>
      </c>
      <c r="Y333" s="364">
        <v>0</v>
      </c>
      <c r="Z333" s="364">
        <v>0</v>
      </c>
      <c r="AA333" s="364">
        <v>0</v>
      </c>
      <c r="AB333" s="364">
        <v>0</v>
      </c>
      <c r="AC333" s="364">
        <v>0</v>
      </c>
      <c r="AD333" s="364">
        <v>0</v>
      </c>
      <c r="AE333" s="364">
        <v>0</v>
      </c>
      <c r="AF333" s="364">
        <v>0</v>
      </c>
      <c r="AG333" s="364">
        <v>0</v>
      </c>
      <c r="AH333" s="364">
        <v>0</v>
      </c>
      <c r="AI333" s="364">
        <v>0</v>
      </c>
      <c r="AJ333" s="364">
        <v>0</v>
      </c>
      <c r="AK333" s="364">
        <v>0</v>
      </c>
      <c r="AL333" s="364">
        <v>0</v>
      </c>
      <c r="AM333" s="364">
        <v>0</v>
      </c>
      <c r="AN333" s="364">
        <v>0</v>
      </c>
      <c r="AO333" s="364">
        <v>0</v>
      </c>
      <c r="AP333" s="364">
        <v>0</v>
      </c>
      <c r="AQ333" s="364">
        <v>0</v>
      </c>
      <c r="AR333" s="364">
        <v>0</v>
      </c>
      <c r="AS333" s="364">
        <v>0</v>
      </c>
      <c r="AT333" s="364">
        <v>0</v>
      </c>
      <c r="AU333" s="364">
        <v>0</v>
      </c>
      <c r="AV333" s="364">
        <v>0</v>
      </c>
      <c r="AW333" s="364">
        <v>0</v>
      </c>
      <c r="AX333" s="364">
        <v>0</v>
      </c>
      <c r="AY333" s="364">
        <v>0</v>
      </c>
      <c r="AZ333" s="364">
        <v>0</v>
      </c>
      <c r="BA333" s="364">
        <v>0</v>
      </c>
      <c r="BB333" s="364">
        <v>0</v>
      </c>
      <c r="BC333" s="363">
        <v>0</v>
      </c>
      <c r="BD333" s="363">
        <v>0</v>
      </c>
      <c r="BE333" s="363">
        <v>0</v>
      </c>
      <c r="BF333" s="363">
        <v>0</v>
      </c>
      <c r="BG333" s="363">
        <v>0</v>
      </c>
      <c r="BH333" s="363">
        <v>0</v>
      </c>
      <c r="BI333" s="363">
        <v>0</v>
      </c>
      <c r="BJ333" s="363">
        <v>0</v>
      </c>
      <c r="BK333" s="363">
        <v>0</v>
      </c>
      <c r="BL333" s="363">
        <v>0</v>
      </c>
      <c r="BM333" s="363">
        <v>0</v>
      </c>
      <c r="BN333" s="363">
        <v>0</v>
      </c>
      <c r="BO333" s="363">
        <v>0</v>
      </c>
      <c r="BP333" s="363">
        <v>0</v>
      </c>
      <c r="BQ333" s="363">
        <v>0</v>
      </c>
      <c r="BR333" s="363">
        <v>0</v>
      </c>
      <c r="BS333" s="363">
        <v>0</v>
      </c>
      <c r="BT333" s="363">
        <v>0</v>
      </c>
      <c r="BU333" s="363">
        <v>0</v>
      </c>
      <c r="BV333" s="363">
        <v>0</v>
      </c>
      <c r="BW333" s="363">
        <v>0</v>
      </c>
      <c r="BX333" s="363">
        <v>0</v>
      </c>
      <c r="BY333" s="363">
        <v>0</v>
      </c>
      <c r="BZ333" s="363">
        <v>0</v>
      </c>
      <c r="CA333" s="363">
        <v>0</v>
      </c>
      <c r="CB333" s="363">
        <v>0</v>
      </c>
      <c r="CC333" s="363">
        <v>0</v>
      </c>
      <c r="CD333" s="363">
        <v>0</v>
      </c>
      <c r="CE333" s="363">
        <v>0</v>
      </c>
      <c r="CF333" s="363">
        <v>0</v>
      </c>
      <c r="CG333" s="363">
        <v>0</v>
      </c>
      <c r="CH333" s="363">
        <v>0</v>
      </c>
      <c r="CI333" s="363">
        <v>0</v>
      </c>
      <c r="CJ333" s="363">
        <v>0</v>
      </c>
      <c r="CK333" s="363">
        <v>0</v>
      </c>
      <c r="CL333" s="363">
        <v>0</v>
      </c>
      <c r="CM333" s="363">
        <v>0</v>
      </c>
      <c r="CN333" s="363">
        <v>0</v>
      </c>
      <c r="CO333" s="363">
        <v>0</v>
      </c>
      <c r="CP333" s="363">
        <v>0</v>
      </c>
      <c r="CQ333" s="363">
        <v>0</v>
      </c>
      <c r="CR333" s="363">
        <v>0</v>
      </c>
      <c r="CS333" s="363">
        <v>0</v>
      </c>
      <c r="CT333" s="363">
        <v>0</v>
      </c>
      <c r="CU333" s="363">
        <v>0</v>
      </c>
      <c r="CV333" s="363">
        <v>0</v>
      </c>
      <c r="CW333" s="363">
        <v>0</v>
      </c>
      <c r="CX333" s="363">
        <v>0</v>
      </c>
      <c r="CY333" s="363">
        <v>0</v>
      </c>
      <c r="CZ333" s="363"/>
      <c r="DA333" s="363"/>
      <c r="DB333" s="363"/>
      <c r="DC333" s="363"/>
      <c r="DD333" s="363"/>
      <c r="DE333" s="363"/>
      <c r="DF333" s="363"/>
      <c r="DG333" s="363"/>
      <c r="DH333" s="363"/>
      <c r="DI333" s="363"/>
      <c r="DJ333" s="363"/>
      <c r="DK333" s="363">
        <v>0</v>
      </c>
      <c r="DL333" s="363">
        <v>0</v>
      </c>
      <c r="DM333" s="363">
        <v>0</v>
      </c>
      <c r="DN333" s="363">
        <v>0</v>
      </c>
      <c r="DO333" s="363">
        <v>0</v>
      </c>
      <c r="DP333" s="363">
        <v>0</v>
      </c>
      <c r="DQ333" s="363">
        <v>0</v>
      </c>
      <c r="DR333" s="364">
        <v>0</v>
      </c>
      <c r="DS333" s="364">
        <v>0</v>
      </c>
      <c r="DT333" s="364">
        <v>0</v>
      </c>
      <c r="DU333" s="364">
        <v>0</v>
      </c>
      <c r="DV333" s="364">
        <v>0</v>
      </c>
      <c r="DW333" s="545">
        <f t="shared" si="38"/>
        <v>0</v>
      </c>
      <c r="DX333" s="858"/>
      <c r="DY333" s="706"/>
      <c r="DZ333" s="872"/>
      <c r="EA333" s="873"/>
      <c r="EB333" s="859"/>
      <c r="EC333" s="859"/>
      <c r="ED333" s="859"/>
      <c r="EE333" s="859"/>
      <c r="EF333" s="861"/>
      <c r="EG333" s="1107"/>
      <c r="EI333" s="858"/>
      <c r="EJ333" s="877"/>
      <c r="ER333" s="497"/>
    </row>
    <row r="334" spans="1:148" s="278" customFormat="1" ht="24" outlineLevel="2" x14ac:dyDescent="0.2">
      <c r="A334" s="1091"/>
      <c r="B334" s="885" t="s">
        <v>194</v>
      </c>
      <c r="C334" s="911">
        <v>10</v>
      </c>
      <c r="D334" s="888">
        <f>+VLOOKUP(B334,'Detalle Plan de Adquisiciones'!$G$95:$L$153,6,FALSE)</f>
        <v>0</v>
      </c>
      <c r="E334" s="889" t="str">
        <f>+'Detalle Plan de Adquisiciones'!F140</f>
        <v>INTERVENTORÍA TÉCNICA, ADMINISTRATIVA, FINANCIERA Y AMBIENTAL AL CONTRATO CUYO OBJETO ES: PATIO 4</v>
      </c>
      <c r="F334" s="316" t="s">
        <v>410</v>
      </c>
      <c r="G334" s="354">
        <v>0</v>
      </c>
      <c r="H334" s="354">
        <v>0</v>
      </c>
      <c r="I334" s="354">
        <v>0</v>
      </c>
      <c r="J334" s="354">
        <v>0</v>
      </c>
      <c r="K334" s="354">
        <v>0</v>
      </c>
      <c r="L334" s="354">
        <v>0</v>
      </c>
      <c r="M334" s="354">
        <v>0</v>
      </c>
      <c r="N334" s="354">
        <v>0</v>
      </c>
      <c r="O334" s="354">
        <v>0</v>
      </c>
      <c r="P334" s="354">
        <v>0</v>
      </c>
      <c r="Q334" s="354">
        <v>0</v>
      </c>
      <c r="R334" s="354">
        <v>0</v>
      </c>
      <c r="S334" s="354">
        <v>0</v>
      </c>
      <c r="T334" s="354">
        <v>0</v>
      </c>
      <c r="U334" s="354">
        <v>0</v>
      </c>
      <c r="V334" s="354">
        <v>0</v>
      </c>
      <c r="W334" s="354">
        <v>0</v>
      </c>
      <c r="X334" s="354">
        <v>0</v>
      </c>
      <c r="Y334" s="354">
        <v>0</v>
      </c>
      <c r="Z334" s="354">
        <v>0</v>
      </c>
      <c r="AA334" s="354">
        <v>0</v>
      </c>
      <c r="AB334" s="354">
        <v>0</v>
      </c>
      <c r="AC334" s="354">
        <v>0</v>
      </c>
      <c r="AD334" s="354">
        <v>0</v>
      </c>
      <c r="AE334" s="354">
        <v>0</v>
      </c>
      <c r="AF334" s="354">
        <v>0</v>
      </c>
      <c r="AG334" s="354">
        <v>0</v>
      </c>
      <c r="AH334" s="354">
        <v>0</v>
      </c>
      <c r="AI334" s="354">
        <v>0</v>
      </c>
      <c r="AJ334" s="354">
        <v>0</v>
      </c>
      <c r="AK334" s="354">
        <v>0</v>
      </c>
      <c r="AL334" s="354">
        <v>0</v>
      </c>
      <c r="AM334" s="354">
        <v>0</v>
      </c>
      <c r="AN334" s="354">
        <v>0</v>
      </c>
      <c r="AO334" s="354">
        <v>0</v>
      </c>
      <c r="AP334" s="354">
        <v>0</v>
      </c>
      <c r="AQ334" s="354">
        <v>0</v>
      </c>
      <c r="AR334" s="354">
        <v>0</v>
      </c>
      <c r="AS334" s="354">
        <v>0</v>
      </c>
      <c r="AT334" s="354">
        <v>0</v>
      </c>
      <c r="AU334" s="354">
        <v>0</v>
      </c>
      <c r="AV334" s="354">
        <v>0</v>
      </c>
      <c r="AW334" s="354">
        <v>0</v>
      </c>
      <c r="AX334" s="354">
        <v>0</v>
      </c>
      <c r="AY334" s="354">
        <v>0</v>
      </c>
      <c r="AZ334" s="354">
        <v>0</v>
      </c>
      <c r="BA334" s="354">
        <v>0</v>
      </c>
      <c r="BB334" s="354">
        <v>0</v>
      </c>
      <c r="BC334" s="363">
        <v>0</v>
      </c>
      <c r="BD334" s="363">
        <v>0</v>
      </c>
      <c r="BE334" s="363">
        <v>0</v>
      </c>
      <c r="BF334" s="363">
        <v>0</v>
      </c>
      <c r="BG334" s="363">
        <v>0</v>
      </c>
      <c r="BH334" s="363">
        <v>0</v>
      </c>
      <c r="BI334" s="363">
        <v>0</v>
      </c>
      <c r="BJ334" s="363">
        <v>0</v>
      </c>
      <c r="BK334" s="363">
        <v>0</v>
      </c>
      <c r="BL334" s="363">
        <v>0</v>
      </c>
      <c r="BM334" s="363">
        <v>0</v>
      </c>
      <c r="BN334" s="363">
        <v>0</v>
      </c>
      <c r="BO334" s="363">
        <v>0</v>
      </c>
      <c r="BP334" s="363">
        <v>0</v>
      </c>
      <c r="BQ334" s="363">
        <v>0</v>
      </c>
      <c r="BR334" s="363">
        <v>0</v>
      </c>
      <c r="BS334" s="363">
        <v>0</v>
      </c>
      <c r="BT334" s="363">
        <v>0</v>
      </c>
      <c r="BU334" s="363">
        <v>0</v>
      </c>
      <c r="BV334" s="363">
        <v>0</v>
      </c>
      <c r="BW334" s="363">
        <v>0</v>
      </c>
      <c r="BX334" s="363">
        <v>0</v>
      </c>
      <c r="BY334" s="363">
        <v>0</v>
      </c>
      <c r="BZ334" s="363">
        <v>0</v>
      </c>
      <c r="CA334" s="363">
        <v>0</v>
      </c>
      <c r="CB334" s="363">
        <v>0</v>
      </c>
      <c r="CC334" s="363">
        <v>0</v>
      </c>
      <c r="CD334" s="363">
        <v>0</v>
      </c>
      <c r="CE334" s="363">
        <v>0</v>
      </c>
      <c r="CF334" s="363">
        <v>0</v>
      </c>
      <c r="CG334" s="363">
        <v>0</v>
      </c>
      <c r="CH334" s="363">
        <v>0</v>
      </c>
      <c r="CI334" s="363">
        <v>0</v>
      </c>
      <c r="CJ334" s="363">
        <v>0</v>
      </c>
      <c r="CK334" s="363">
        <v>0</v>
      </c>
      <c r="CL334" s="363">
        <v>0</v>
      </c>
      <c r="CM334" s="363">
        <v>0</v>
      </c>
      <c r="CN334" s="363">
        <v>0</v>
      </c>
      <c r="CO334" s="363">
        <v>0</v>
      </c>
      <c r="CP334" s="363">
        <v>0</v>
      </c>
      <c r="CQ334" s="363">
        <v>0</v>
      </c>
      <c r="CR334" s="363">
        <v>0</v>
      </c>
      <c r="CS334" s="363">
        <v>0</v>
      </c>
      <c r="CT334" s="363">
        <v>0</v>
      </c>
      <c r="CU334" s="363">
        <v>0</v>
      </c>
      <c r="CV334" s="363">
        <v>0</v>
      </c>
      <c r="CW334" s="363">
        <v>0</v>
      </c>
      <c r="CX334" s="363">
        <v>0</v>
      </c>
      <c r="CY334" s="363">
        <v>0</v>
      </c>
      <c r="CZ334" s="363">
        <v>0</v>
      </c>
      <c r="DA334" s="363">
        <v>0</v>
      </c>
      <c r="DB334" s="363">
        <v>0</v>
      </c>
      <c r="DC334" s="363">
        <v>0</v>
      </c>
      <c r="DD334" s="363">
        <v>0</v>
      </c>
      <c r="DE334" s="363">
        <v>0</v>
      </c>
      <c r="DF334" s="363">
        <v>0</v>
      </c>
      <c r="DG334" s="363">
        <v>0</v>
      </c>
      <c r="DH334" s="363">
        <v>0</v>
      </c>
      <c r="DI334" s="363">
        <v>0</v>
      </c>
      <c r="DJ334" s="363">
        <v>0</v>
      </c>
      <c r="DK334" s="363">
        <v>0</v>
      </c>
      <c r="DL334" s="363">
        <v>0</v>
      </c>
      <c r="DM334" s="363">
        <v>0</v>
      </c>
      <c r="DN334" s="363">
        <v>0</v>
      </c>
      <c r="DO334" s="363">
        <v>0</v>
      </c>
      <c r="DP334" s="363">
        <v>0</v>
      </c>
      <c r="DQ334" s="363">
        <v>0</v>
      </c>
      <c r="DR334" s="354">
        <v>0</v>
      </c>
      <c r="DS334" s="354">
        <v>0</v>
      </c>
      <c r="DT334" s="354">
        <v>0</v>
      </c>
      <c r="DU334" s="354">
        <v>0</v>
      </c>
      <c r="DV334" s="354">
        <v>0</v>
      </c>
      <c r="DW334" s="543">
        <f t="shared" si="38"/>
        <v>0</v>
      </c>
      <c r="DX334" s="858">
        <f>DW334+DW335+DW336</f>
        <v>0</v>
      </c>
      <c r="DY334" s="704">
        <f>+DX334*1000000</f>
        <v>0</v>
      </c>
      <c r="DZ334" s="870">
        <f>+DY334-D334</f>
        <v>0</v>
      </c>
      <c r="EA334" s="873" t="str">
        <f>VLOOKUP(POA!$B334,INTERPLAN,28,0)</f>
        <v>N/A</v>
      </c>
      <c r="EB334" s="859" t="e">
        <f>+EDATE(EA334,C334)</f>
        <v>#VALUE!</v>
      </c>
      <c r="EC334" s="859" t="e">
        <f>EB334+30</f>
        <v>#VALUE!</v>
      </c>
      <c r="ED334" s="859" t="e">
        <f>CONCATENATE(MONTH(EA334),"-",YEAR(EA334))</f>
        <v>#VALUE!</v>
      </c>
      <c r="EE334" s="859" t="e">
        <f>CONCATENATE(MONTH(EB334),"-",YEAR(EB334))</f>
        <v>#VALUE!</v>
      </c>
      <c r="EF334" s="861" t="e">
        <f>CONCATENATE(MONTH(EC334),"-",YEAR(EC334))</f>
        <v>#VALUE!</v>
      </c>
      <c r="EG334" s="1105"/>
      <c r="EI334" s="858">
        <f>+DW334+DW335+DW336</f>
        <v>0</v>
      </c>
      <c r="EJ334" s="877">
        <f>+D334/1000000-EI334</f>
        <v>0</v>
      </c>
      <c r="ER334" s="497"/>
    </row>
    <row r="335" spans="1:148" s="278" customFormat="1" outlineLevel="2" x14ac:dyDescent="0.2">
      <c r="A335" s="1070"/>
      <c r="B335" s="886"/>
      <c r="C335" s="903"/>
      <c r="D335" s="864"/>
      <c r="E335" s="867"/>
      <c r="F335" s="311" t="s">
        <v>210</v>
      </c>
      <c r="G335" s="363">
        <v>0</v>
      </c>
      <c r="H335" s="363">
        <v>0</v>
      </c>
      <c r="I335" s="363">
        <v>0</v>
      </c>
      <c r="J335" s="363">
        <v>0</v>
      </c>
      <c r="K335" s="363">
        <v>0</v>
      </c>
      <c r="L335" s="363">
        <v>0</v>
      </c>
      <c r="M335" s="363">
        <v>0</v>
      </c>
      <c r="N335" s="363">
        <v>0</v>
      </c>
      <c r="O335" s="363">
        <v>0</v>
      </c>
      <c r="P335" s="363">
        <v>0</v>
      </c>
      <c r="Q335" s="363">
        <v>0</v>
      </c>
      <c r="R335" s="363">
        <v>0</v>
      </c>
      <c r="S335" s="363">
        <v>0</v>
      </c>
      <c r="T335" s="363">
        <v>0</v>
      </c>
      <c r="U335" s="363">
        <v>0</v>
      </c>
      <c r="V335" s="363">
        <v>0</v>
      </c>
      <c r="W335" s="363">
        <v>0</v>
      </c>
      <c r="X335" s="363">
        <v>0</v>
      </c>
      <c r="Y335" s="363">
        <v>0</v>
      </c>
      <c r="Z335" s="363">
        <v>0</v>
      </c>
      <c r="AA335" s="363">
        <v>0</v>
      </c>
      <c r="AB335" s="363">
        <v>0</v>
      </c>
      <c r="AC335" s="363">
        <v>0</v>
      </c>
      <c r="AD335" s="363">
        <v>0</v>
      </c>
      <c r="AE335" s="363">
        <v>0</v>
      </c>
      <c r="AF335" s="363">
        <v>0</v>
      </c>
      <c r="AG335" s="363">
        <v>0</v>
      </c>
      <c r="AH335" s="363">
        <v>0</v>
      </c>
      <c r="AI335" s="363">
        <v>0</v>
      </c>
      <c r="AJ335" s="363">
        <v>0</v>
      </c>
      <c r="AK335" s="363">
        <v>0</v>
      </c>
      <c r="AL335" s="363">
        <v>0</v>
      </c>
      <c r="AM335" s="363">
        <v>0</v>
      </c>
      <c r="AN335" s="363">
        <v>0</v>
      </c>
      <c r="AO335" s="363">
        <v>0</v>
      </c>
      <c r="AP335" s="363">
        <v>0</v>
      </c>
      <c r="AQ335" s="363">
        <v>0</v>
      </c>
      <c r="AR335" s="363">
        <v>0</v>
      </c>
      <c r="AS335" s="363">
        <v>0</v>
      </c>
      <c r="AT335" s="363">
        <v>0</v>
      </c>
      <c r="AU335" s="363">
        <v>0</v>
      </c>
      <c r="AV335" s="363">
        <v>0</v>
      </c>
      <c r="AW335" s="363">
        <v>0</v>
      </c>
      <c r="AX335" s="363">
        <v>0</v>
      </c>
      <c r="AY335" s="363">
        <v>0</v>
      </c>
      <c r="AZ335" s="363">
        <v>0</v>
      </c>
      <c r="BA335" s="363">
        <v>0</v>
      </c>
      <c r="BB335" s="363">
        <v>0</v>
      </c>
      <c r="BC335" s="363">
        <v>0</v>
      </c>
      <c r="BD335" s="363">
        <v>0</v>
      </c>
      <c r="BE335" s="363">
        <v>0</v>
      </c>
      <c r="BF335" s="363">
        <v>0</v>
      </c>
      <c r="BG335" s="363">
        <v>0</v>
      </c>
      <c r="BH335" s="363">
        <v>0</v>
      </c>
      <c r="BI335" s="363">
        <v>0</v>
      </c>
      <c r="BJ335" s="363">
        <v>0</v>
      </c>
      <c r="BK335" s="363">
        <v>0</v>
      </c>
      <c r="BL335" s="363">
        <v>0</v>
      </c>
      <c r="BM335" s="363">
        <v>0</v>
      </c>
      <c r="BN335" s="363">
        <v>0</v>
      </c>
      <c r="BO335" s="363">
        <v>0</v>
      </c>
      <c r="BP335" s="363">
        <v>0</v>
      </c>
      <c r="BQ335" s="363">
        <v>0</v>
      </c>
      <c r="BR335" s="363">
        <v>0</v>
      </c>
      <c r="BS335" s="363">
        <v>0</v>
      </c>
      <c r="BT335" s="363">
        <v>0</v>
      </c>
      <c r="BU335" s="363">
        <v>0</v>
      </c>
      <c r="BV335" s="363">
        <v>0</v>
      </c>
      <c r="BW335" s="363">
        <v>0</v>
      </c>
      <c r="BX335" s="363">
        <v>0</v>
      </c>
      <c r="BY335" s="363">
        <v>0</v>
      </c>
      <c r="BZ335" s="363">
        <v>0</v>
      </c>
      <c r="CA335" s="363">
        <v>0</v>
      </c>
      <c r="CB335" s="363">
        <v>0</v>
      </c>
      <c r="CC335" s="363">
        <v>0</v>
      </c>
      <c r="CD335" s="363">
        <v>0</v>
      </c>
      <c r="CE335" s="363">
        <v>0</v>
      </c>
      <c r="CF335" s="363">
        <v>0</v>
      </c>
      <c r="CG335" s="363">
        <v>0</v>
      </c>
      <c r="CH335" s="363">
        <v>0</v>
      </c>
      <c r="CI335" s="363">
        <v>0</v>
      </c>
      <c r="CJ335" s="363">
        <v>0</v>
      </c>
      <c r="CK335" s="363">
        <v>0</v>
      </c>
      <c r="CL335" s="363">
        <v>0</v>
      </c>
      <c r="CM335" s="363">
        <v>0</v>
      </c>
      <c r="CN335" s="363">
        <v>0</v>
      </c>
      <c r="CO335" s="363">
        <v>0</v>
      </c>
      <c r="CP335" s="363">
        <v>0</v>
      </c>
      <c r="CQ335" s="363">
        <v>0</v>
      </c>
      <c r="CR335" s="363">
        <v>0</v>
      </c>
      <c r="CS335" s="363">
        <v>0</v>
      </c>
      <c r="CT335" s="363">
        <v>0</v>
      </c>
      <c r="CU335" s="363">
        <v>0</v>
      </c>
      <c r="CV335" s="363">
        <v>0</v>
      </c>
      <c r="CW335" s="363">
        <v>0</v>
      </c>
      <c r="CX335" s="363">
        <v>0</v>
      </c>
      <c r="CY335" s="363">
        <v>0</v>
      </c>
      <c r="CZ335" s="363">
        <v>0</v>
      </c>
      <c r="DA335" s="363">
        <v>0</v>
      </c>
      <c r="DB335" s="363">
        <v>0</v>
      </c>
      <c r="DC335" s="363">
        <v>0</v>
      </c>
      <c r="DD335" s="363">
        <v>0</v>
      </c>
      <c r="DE335" s="363">
        <v>0</v>
      </c>
      <c r="DF335" s="363">
        <v>0</v>
      </c>
      <c r="DG335" s="363">
        <v>0</v>
      </c>
      <c r="DH335" s="363">
        <v>0</v>
      </c>
      <c r="DI335" s="363">
        <v>0</v>
      </c>
      <c r="DJ335" s="363">
        <v>0</v>
      </c>
      <c r="DK335" s="363">
        <v>0</v>
      </c>
      <c r="DL335" s="363">
        <v>0</v>
      </c>
      <c r="DM335" s="363">
        <v>0</v>
      </c>
      <c r="DN335" s="363">
        <v>0</v>
      </c>
      <c r="DO335" s="363">
        <v>0</v>
      </c>
      <c r="DP335" s="363">
        <v>0</v>
      </c>
      <c r="DQ335" s="363">
        <v>0</v>
      </c>
      <c r="DR335" s="363">
        <v>0</v>
      </c>
      <c r="DS335" s="363">
        <v>0</v>
      </c>
      <c r="DT335" s="363">
        <v>0</v>
      </c>
      <c r="DU335" s="363">
        <v>0</v>
      </c>
      <c r="DV335" s="363">
        <v>0</v>
      </c>
      <c r="DW335" s="544">
        <f t="shared" si="38"/>
        <v>0</v>
      </c>
      <c r="DX335" s="858"/>
      <c r="DY335" s="705"/>
      <c r="DZ335" s="871"/>
      <c r="EA335" s="873"/>
      <c r="EB335" s="859"/>
      <c r="EC335" s="859"/>
      <c r="ED335" s="859"/>
      <c r="EE335" s="859"/>
      <c r="EF335" s="861"/>
      <c r="EG335" s="1106"/>
      <c r="EI335" s="858"/>
      <c r="EJ335" s="877"/>
      <c r="ER335" s="497"/>
    </row>
    <row r="336" spans="1:148" s="278" customFormat="1" ht="12.75" outlineLevel="2" thickBot="1" x14ac:dyDescent="0.25">
      <c r="A336" s="1071"/>
      <c r="B336" s="887"/>
      <c r="C336" s="904"/>
      <c r="D336" s="865"/>
      <c r="E336" s="868"/>
      <c r="F336" s="315" t="s">
        <v>211</v>
      </c>
      <c r="G336" s="364">
        <v>0</v>
      </c>
      <c r="H336" s="364">
        <v>0</v>
      </c>
      <c r="I336" s="364">
        <v>0</v>
      </c>
      <c r="J336" s="364">
        <v>0</v>
      </c>
      <c r="K336" s="364">
        <v>0</v>
      </c>
      <c r="L336" s="364">
        <v>0</v>
      </c>
      <c r="M336" s="364">
        <v>0</v>
      </c>
      <c r="N336" s="364">
        <v>0</v>
      </c>
      <c r="O336" s="364">
        <v>0</v>
      </c>
      <c r="P336" s="364">
        <v>0</v>
      </c>
      <c r="Q336" s="364">
        <v>0</v>
      </c>
      <c r="R336" s="364">
        <v>0</v>
      </c>
      <c r="S336" s="364">
        <v>0</v>
      </c>
      <c r="T336" s="364">
        <v>0</v>
      </c>
      <c r="U336" s="364">
        <v>0</v>
      </c>
      <c r="V336" s="364">
        <v>0</v>
      </c>
      <c r="W336" s="364">
        <v>0</v>
      </c>
      <c r="X336" s="364">
        <v>0</v>
      </c>
      <c r="Y336" s="364">
        <v>0</v>
      </c>
      <c r="Z336" s="364">
        <v>0</v>
      </c>
      <c r="AA336" s="364">
        <v>0</v>
      </c>
      <c r="AB336" s="364">
        <v>0</v>
      </c>
      <c r="AC336" s="364">
        <v>0</v>
      </c>
      <c r="AD336" s="364">
        <v>0</v>
      </c>
      <c r="AE336" s="364">
        <v>0</v>
      </c>
      <c r="AF336" s="364">
        <v>0</v>
      </c>
      <c r="AG336" s="364">
        <v>0</v>
      </c>
      <c r="AH336" s="364">
        <v>0</v>
      </c>
      <c r="AI336" s="364">
        <v>0</v>
      </c>
      <c r="AJ336" s="364">
        <v>0</v>
      </c>
      <c r="AK336" s="364">
        <v>0</v>
      </c>
      <c r="AL336" s="364">
        <v>0</v>
      </c>
      <c r="AM336" s="364">
        <v>0</v>
      </c>
      <c r="AN336" s="364">
        <v>0</v>
      </c>
      <c r="AO336" s="364">
        <v>0</v>
      </c>
      <c r="AP336" s="364">
        <v>0</v>
      </c>
      <c r="AQ336" s="364">
        <v>0</v>
      </c>
      <c r="AR336" s="364">
        <v>0</v>
      </c>
      <c r="AS336" s="364">
        <v>0</v>
      </c>
      <c r="AT336" s="364">
        <v>0</v>
      </c>
      <c r="AU336" s="364">
        <v>0</v>
      </c>
      <c r="AV336" s="364">
        <v>0</v>
      </c>
      <c r="AW336" s="364">
        <v>0</v>
      </c>
      <c r="AX336" s="364">
        <v>0</v>
      </c>
      <c r="AY336" s="364">
        <v>0</v>
      </c>
      <c r="AZ336" s="364">
        <v>0</v>
      </c>
      <c r="BA336" s="364">
        <v>0</v>
      </c>
      <c r="BB336" s="364">
        <v>0</v>
      </c>
      <c r="BC336" s="363">
        <v>0</v>
      </c>
      <c r="BD336" s="363">
        <v>0</v>
      </c>
      <c r="BE336" s="363">
        <v>0</v>
      </c>
      <c r="BF336" s="363">
        <v>0</v>
      </c>
      <c r="BG336" s="363">
        <v>0</v>
      </c>
      <c r="BH336" s="363">
        <v>0</v>
      </c>
      <c r="BI336" s="363">
        <v>0</v>
      </c>
      <c r="BJ336" s="363">
        <v>0</v>
      </c>
      <c r="BK336" s="363">
        <v>0</v>
      </c>
      <c r="BL336" s="363">
        <v>0</v>
      </c>
      <c r="BM336" s="363">
        <v>0</v>
      </c>
      <c r="BN336" s="363">
        <v>0</v>
      </c>
      <c r="BO336" s="363">
        <v>0</v>
      </c>
      <c r="BP336" s="363">
        <v>0</v>
      </c>
      <c r="BQ336" s="363">
        <v>0</v>
      </c>
      <c r="BR336" s="363">
        <v>0</v>
      </c>
      <c r="BS336" s="363">
        <v>0</v>
      </c>
      <c r="BT336" s="363">
        <v>0</v>
      </c>
      <c r="BU336" s="363">
        <v>0</v>
      </c>
      <c r="BV336" s="363">
        <v>0</v>
      </c>
      <c r="BW336" s="363">
        <v>0</v>
      </c>
      <c r="BX336" s="363">
        <v>0</v>
      </c>
      <c r="BY336" s="363">
        <v>0</v>
      </c>
      <c r="BZ336" s="363">
        <v>0</v>
      </c>
      <c r="CA336" s="363">
        <v>0</v>
      </c>
      <c r="CB336" s="363">
        <v>0</v>
      </c>
      <c r="CC336" s="363">
        <v>0</v>
      </c>
      <c r="CD336" s="363">
        <v>0</v>
      </c>
      <c r="CE336" s="363">
        <v>0</v>
      </c>
      <c r="CF336" s="363">
        <v>0</v>
      </c>
      <c r="CG336" s="363">
        <v>0</v>
      </c>
      <c r="CH336" s="363">
        <v>0</v>
      </c>
      <c r="CI336" s="363">
        <v>0</v>
      </c>
      <c r="CJ336" s="363">
        <v>0</v>
      </c>
      <c r="CK336" s="363">
        <v>0</v>
      </c>
      <c r="CL336" s="363">
        <v>0</v>
      </c>
      <c r="CM336" s="363">
        <v>0</v>
      </c>
      <c r="CN336" s="363">
        <v>0</v>
      </c>
      <c r="CO336" s="363">
        <v>0</v>
      </c>
      <c r="CP336" s="363">
        <v>0</v>
      </c>
      <c r="CQ336" s="363">
        <v>0</v>
      </c>
      <c r="CR336" s="363">
        <v>0</v>
      </c>
      <c r="CS336" s="363">
        <v>0</v>
      </c>
      <c r="CT336" s="363">
        <v>0</v>
      </c>
      <c r="CU336" s="363">
        <v>0</v>
      </c>
      <c r="CV336" s="363">
        <v>0</v>
      </c>
      <c r="CW336" s="363">
        <v>0</v>
      </c>
      <c r="CX336" s="363">
        <v>0</v>
      </c>
      <c r="CY336" s="363">
        <v>0</v>
      </c>
      <c r="CZ336" s="363"/>
      <c r="DA336" s="363"/>
      <c r="DB336" s="363"/>
      <c r="DC336" s="363"/>
      <c r="DD336" s="363"/>
      <c r="DE336" s="363"/>
      <c r="DF336" s="363"/>
      <c r="DG336" s="363"/>
      <c r="DH336" s="363"/>
      <c r="DI336" s="363"/>
      <c r="DJ336" s="363"/>
      <c r="DK336" s="363">
        <v>0</v>
      </c>
      <c r="DL336" s="363">
        <v>0</v>
      </c>
      <c r="DM336" s="363">
        <v>0</v>
      </c>
      <c r="DN336" s="363">
        <v>0</v>
      </c>
      <c r="DO336" s="363">
        <v>0</v>
      </c>
      <c r="DP336" s="363">
        <v>0</v>
      </c>
      <c r="DQ336" s="363">
        <v>0</v>
      </c>
      <c r="DR336" s="364">
        <v>0</v>
      </c>
      <c r="DS336" s="364">
        <v>0</v>
      </c>
      <c r="DT336" s="364">
        <v>0</v>
      </c>
      <c r="DU336" s="364">
        <v>0</v>
      </c>
      <c r="DV336" s="364">
        <v>0</v>
      </c>
      <c r="DW336" s="545">
        <f t="shared" si="38"/>
        <v>0</v>
      </c>
      <c r="DX336" s="858"/>
      <c r="DY336" s="706"/>
      <c r="DZ336" s="872"/>
      <c r="EA336" s="873"/>
      <c r="EB336" s="859"/>
      <c r="EC336" s="859"/>
      <c r="ED336" s="859"/>
      <c r="EE336" s="859"/>
      <c r="EF336" s="861"/>
      <c r="EG336" s="1107"/>
      <c r="EI336" s="858"/>
      <c r="EJ336" s="877"/>
      <c r="ER336" s="497"/>
    </row>
    <row r="337" spans="1:148" s="32" customFormat="1" ht="24" outlineLevel="2" x14ac:dyDescent="0.2">
      <c r="A337" s="928"/>
      <c r="B337" s="897" t="s">
        <v>171</v>
      </c>
      <c r="C337" s="902">
        <v>3</v>
      </c>
      <c r="D337" s="863">
        <f>+IFERROR(VLOOKUP(B337,'Detalle Plan de Adquisiciones'!$G$95:$L$153,6,FALSE),0)</f>
        <v>0</v>
      </c>
      <c r="E337" s="866" t="str">
        <f>+'Detalle Plan de Adquisiciones'!F141</f>
        <v>INTERVENTORÍA TÉCNICA, ADMINISTRATIVA, FINANCIERA Y AMBIENTAL AL CONTRATO CUYO OBJETO ES: PTN FURATENA</v>
      </c>
      <c r="F337" s="312" t="s">
        <v>410</v>
      </c>
      <c r="G337" s="354">
        <v>0</v>
      </c>
      <c r="H337" s="354">
        <v>0</v>
      </c>
      <c r="I337" s="354">
        <v>0</v>
      </c>
      <c r="J337" s="354">
        <v>0</v>
      </c>
      <c r="K337" s="354">
        <v>0</v>
      </c>
      <c r="L337" s="354">
        <v>0</v>
      </c>
      <c r="M337" s="354">
        <v>0</v>
      </c>
      <c r="N337" s="354">
        <v>0</v>
      </c>
      <c r="O337" s="354">
        <v>0</v>
      </c>
      <c r="P337" s="354">
        <v>0</v>
      </c>
      <c r="Q337" s="354">
        <v>0</v>
      </c>
      <c r="R337" s="354">
        <v>0</v>
      </c>
      <c r="S337" s="354">
        <v>0</v>
      </c>
      <c r="T337" s="354">
        <v>0</v>
      </c>
      <c r="U337" s="354">
        <v>0</v>
      </c>
      <c r="V337" s="354">
        <v>0</v>
      </c>
      <c r="W337" s="354">
        <v>0</v>
      </c>
      <c r="X337" s="354">
        <v>0</v>
      </c>
      <c r="Y337" s="354">
        <v>0</v>
      </c>
      <c r="Z337" s="354">
        <v>0</v>
      </c>
      <c r="AA337" s="354">
        <v>0</v>
      </c>
      <c r="AB337" s="354">
        <v>0</v>
      </c>
      <c r="AC337" s="354">
        <v>0</v>
      </c>
      <c r="AD337" s="354">
        <v>0</v>
      </c>
      <c r="AE337" s="354">
        <v>0</v>
      </c>
      <c r="AF337" s="354">
        <v>0</v>
      </c>
      <c r="AG337" s="354">
        <v>0</v>
      </c>
      <c r="AH337" s="354">
        <v>0</v>
      </c>
      <c r="AI337" s="354">
        <v>0</v>
      </c>
      <c r="AJ337" s="354">
        <v>0</v>
      </c>
      <c r="AK337" s="354">
        <v>0</v>
      </c>
      <c r="AL337" s="354">
        <v>0</v>
      </c>
      <c r="AM337" s="354">
        <v>0</v>
      </c>
      <c r="AN337" s="354">
        <v>0</v>
      </c>
      <c r="AO337" s="354">
        <v>0</v>
      </c>
      <c r="AP337" s="354">
        <v>0</v>
      </c>
      <c r="AQ337" s="354">
        <v>0</v>
      </c>
      <c r="AR337" s="354">
        <v>0</v>
      </c>
      <c r="AS337" s="354">
        <v>0</v>
      </c>
      <c r="AT337" s="354">
        <v>0</v>
      </c>
      <c r="AU337" s="354">
        <v>0</v>
      </c>
      <c r="AV337" s="354">
        <v>0</v>
      </c>
      <c r="AW337" s="354">
        <v>0</v>
      </c>
      <c r="AX337" s="354">
        <v>0</v>
      </c>
      <c r="AY337" s="354">
        <v>0</v>
      </c>
      <c r="AZ337" s="354">
        <v>0</v>
      </c>
      <c r="BA337" s="354">
        <v>0</v>
      </c>
      <c r="BB337" s="354">
        <v>0</v>
      </c>
      <c r="BC337" s="363">
        <v>0</v>
      </c>
      <c r="BD337" s="363">
        <v>0</v>
      </c>
      <c r="BE337" s="363">
        <v>0</v>
      </c>
      <c r="BF337" s="363">
        <v>0</v>
      </c>
      <c r="BG337" s="363">
        <v>0</v>
      </c>
      <c r="BH337" s="363">
        <v>0</v>
      </c>
      <c r="BI337" s="363">
        <v>0</v>
      </c>
      <c r="BJ337" s="363">
        <v>0</v>
      </c>
      <c r="BK337" s="363">
        <v>0</v>
      </c>
      <c r="BL337" s="363">
        <v>0</v>
      </c>
      <c r="BM337" s="363">
        <v>0</v>
      </c>
      <c r="BN337" s="363">
        <v>0</v>
      </c>
      <c r="BO337" s="363">
        <v>0</v>
      </c>
      <c r="BP337" s="363">
        <v>0</v>
      </c>
      <c r="BQ337" s="363">
        <v>0</v>
      </c>
      <c r="BR337" s="363">
        <v>0</v>
      </c>
      <c r="BS337" s="363">
        <v>0</v>
      </c>
      <c r="BT337" s="363">
        <v>0</v>
      </c>
      <c r="BU337" s="363">
        <v>0</v>
      </c>
      <c r="BV337" s="363">
        <v>0</v>
      </c>
      <c r="BW337" s="363">
        <v>0</v>
      </c>
      <c r="BX337" s="363">
        <v>0</v>
      </c>
      <c r="BY337" s="363">
        <v>0</v>
      </c>
      <c r="BZ337" s="363">
        <v>0</v>
      </c>
      <c r="CA337" s="363">
        <v>0</v>
      </c>
      <c r="CB337" s="363">
        <v>0</v>
      </c>
      <c r="CC337" s="363">
        <v>0</v>
      </c>
      <c r="CD337" s="363">
        <v>0</v>
      </c>
      <c r="CE337" s="363">
        <v>0</v>
      </c>
      <c r="CF337" s="363">
        <v>0</v>
      </c>
      <c r="CG337" s="363">
        <v>0</v>
      </c>
      <c r="CH337" s="363">
        <v>0</v>
      </c>
      <c r="CI337" s="363">
        <v>0</v>
      </c>
      <c r="CJ337" s="363">
        <v>0</v>
      </c>
      <c r="CK337" s="363">
        <v>0</v>
      </c>
      <c r="CL337" s="363">
        <v>0</v>
      </c>
      <c r="CM337" s="363">
        <v>0</v>
      </c>
      <c r="CN337" s="363">
        <v>0</v>
      </c>
      <c r="CO337" s="363">
        <v>0</v>
      </c>
      <c r="CP337" s="363">
        <v>0</v>
      </c>
      <c r="CQ337" s="363">
        <v>0</v>
      </c>
      <c r="CR337" s="363">
        <v>0</v>
      </c>
      <c r="CS337" s="363">
        <v>0</v>
      </c>
      <c r="CT337" s="363">
        <v>0</v>
      </c>
      <c r="CU337" s="363">
        <v>0</v>
      </c>
      <c r="CV337" s="363">
        <v>0</v>
      </c>
      <c r="CW337" s="363">
        <v>0</v>
      </c>
      <c r="CX337" s="363">
        <v>0</v>
      </c>
      <c r="CY337" s="363">
        <v>0</v>
      </c>
      <c r="CZ337" s="363">
        <v>0</v>
      </c>
      <c r="DA337" s="363">
        <v>0</v>
      </c>
      <c r="DB337" s="363">
        <v>0</v>
      </c>
      <c r="DC337" s="363">
        <v>0</v>
      </c>
      <c r="DD337" s="363">
        <v>0</v>
      </c>
      <c r="DE337" s="363">
        <v>0</v>
      </c>
      <c r="DF337" s="363">
        <v>0</v>
      </c>
      <c r="DG337" s="363">
        <v>0</v>
      </c>
      <c r="DH337" s="363">
        <v>0</v>
      </c>
      <c r="DI337" s="363">
        <v>0</v>
      </c>
      <c r="DJ337" s="363">
        <v>0</v>
      </c>
      <c r="DK337" s="363">
        <v>0</v>
      </c>
      <c r="DL337" s="363">
        <v>0</v>
      </c>
      <c r="DM337" s="363">
        <v>0</v>
      </c>
      <c r="DN337" s="363">
        <v>0</v>
      </c>
      <c r="DO337" s="363">
        <v>0</v>
      </c>
      <c r="DP337" s="363">
        <v>0</v>
      </c>
      <c r="DQ337" s="363">
        <v>0</v>
      </c>
      <c r="DR337" s="354">
        <v>0</v>
      </c>
      <c r="DS337" s="354">
        <v>0</v>
      </c>
      <c r="DT337" s="354">
        <v>0</v>
      </c>
      <c r="DU337" s="354">
        <v>0</v>
      </c>
      <c r="DV337" s="354">
        <v>0</v>
      </c>
      <c r="DW337" s="543">
        <f t="shared" si="38"/>
        <v>0</v>
      </c>
      <c r="DX337" s="858">
        <f>DW337+DW338+DW339</f>
        <v>0</v>
      </c>
      <c r="DY337" s="704">
        <f>+DX337*1000000</f>
        <v>0</v>
      </c>
      <c r="DZ337" s="870">
        <f>+DY337-D337</f>
        <v>0</v>
      </c>
      <c r="EA337" s="873" t="str">
        <f>VLOOKUP(POA!$B337,INTERPLAN,28,0)</f>
        <v>N/A</v>
      </c>
      <c r="EB337" s="859" t="e">
        <f>+EDATE(EA337,C337)</f>
        <v>#VALUE!</v>
      </c>
      <c r="EC337" s="859" t="e">
        <f>EB337+30</f>
        <v>#VALUE!</v>
      </c>
      <c r="ED337" s="859" t="e">
        <f>CONCATENATE(MONTH(EA337),"-",YEAR(EA337))</f>
        <v>#VALUE!</v>
      </c>
      <c r="EE337" s="859" t="e">
        <f>CONCATENATE(MONTH(EB337),"-",YEAR(EB337))</f>
        <v>#VALUE!</v>
      </c>
      <c r="EF337" s="861" t="e">
        <f>CONCATENATE(MONTH(EC337),"-",YEAR(EC337))</f>
        <v>#VALUE!</v>
      </c>
      <c r="EG337" s="1105"/>
      <c r="EI337" s="858">
        <f>+DW337+DW338+DW339</f>
        <v>0</v>
      </c>
      <c r="EJ337" s="877">
        <f>+D337/1000000-EI337</f>
        <v>0</v>
      </c>
      <c r="ER337" s="486"/>
    </row>
    <row r="338" spans="1:148" s="278" customFormat="1" outlineLevel="2" x14ac:dyDescent="0.2">
      <c r="A338" s="929"/>
      <c r="B338" s="886"/>
      <c r="C338" s="903"/>
      <c r="D338" s="864"/>
      <c r="E338" s="867"/>
      <c r="F338" s="311" t="s">
        <v>210</v>
      </c>
      <c r="G338" s="363">
        <v>0</v>
      </c>
      <c r="H338" s="363">
        <v>0</v>
      </c>
      <c r="I338" s="363">
        <v>0</v>
      </c>
      <c r="J338" s="363">
        <v>0</v>
      </c>
      <c r="K338" s="363">
        <v>0</v>
      </c>
      <c r="L338" s="363">
        <v>0</v>
      </c>
      <c r="M338" s="363">
        <v>0</v>
      </c>
      <c r="N338" s="363">
        <v>0</v>
      </c>
      <c r="O338" s="363">
        <v>0</v>
      </c>
      <c r="P338" s="363">
        <v>0</v>
      </c>
      <c r="Q338" s="363">
        <v>0</v>
      </c>
      <c r="R338" s="363">
        <v>0</v>
      </c>
      <c r="S338" s="363">
        <v>0</v>
      </c>
      <c r="T338" s="363">
        <v>0</v>
      </c>
      <c r="U338" s="363">
        <v>0</v>
      </c>
      <c r="V338" s="363">
        <v>0</v>
      </c>
      <c r="W338" s="363">
        <v>0</v>
      </c>
      <c r="X338" s="363">
        <v>0</v>
      </c>
      <c r="Y338" s="363">
        <v>0</v>
      </c>
      <c r="Z338" s="363">
        <v>0</v>
      </c>
      <c r="AA338" s="363">
        <v>0</v>
      </c>
      <c r="AB338" s="363">
        <v>0</v>
      </c>
      <c r="AC338" s="363">
        <v>0</v>
      </c>
      <c r="AD338" s="363">
        <v>0</v>
      </c>
      <c r="AE338" s="363">
        <v>0</v>
      </c>
      <c r="AF338" s="363">
        <v>0</v>
      </c>
      <c r="AG338" s="363">
        <v>0</v>
      </c>
      <c r="AH338" s="363">
        <v>0</v>
      </c>
      <c r="AI338" s="363">
        <v>0</v>
      </c>
      <c r="AJ338" s="363">
        <v>0</v>
      </c>
      <c r="AK338" s="363">
        <v>0</v>
      </c>
      <c r="AL338" s="363">
        <v>0</v>
      </c>
      <c r="AM338" s="363">
        <v>0</v>
      </c>
      <c r="AN338" s="363">
        <v>0</v>
      </c>
      <c r="AO338" s="363">
        <v>0</v>
      </c>
      <c r="AP338" s="363">
        <v>0</v>
      </c>
      <c r="AQ338" s="363">
        <v>0</v>
      </c>
      <c r="AR338" s="363">
        <v>0</v>
      </c>
      <c r="AS338" s="363">
        <v>0</v>
      </c>
      <c r="AT338" s="363">
        <v>0</v>
      </c>
      <c r="AU338" s="363">
        <v>0</v>
      </c>
      <c r="AV338" s="363">
        <v>0</v>
      </c>
      <c r="AW338" s="363">
        <v>0</v>
      </c>
      <c r="AX338" s="363">
        <v>0</v>
      </c>
      <c r="AY338" s="363">
        <v>0</v>
      </c>
      <c r="AZ338" s="363">
        <v>0</v>
      </c>
      <c r="BA338" s="363">
        <v>0</v>
      </c>
      <c r="BB338" s="363">
        <v>0</v>
      </c>
      <c r="BC338" s="363">
        <v>0</v>
      </c>
      <c r="BD338" s="363">
        <v>0</v>
      </c>
      <c r="BE338" s="363">
        <v>0</v>
      </c>
      <c r="BF338" s="363">
        <v>0</v>
      </c>
      <c r="BG338" s="363">
        <v>0</v>
      </c>
      <c r="BH338" s="363">
        <v>0</v>
      </c>
      <c r="BI338" s="363">
        <v>0</v>
      </c>
      <c r="BJ338" s="363">
        <v>0</v>
      </c>
      <c r="BK338" s="363">
        <v>0</v>
      </c>
      <c r="BL338" s="363">
        <v>0</v>
      </c>
      <c r="BM338" s="363">
        <v>0</v>
      </c>
      <c r="BN338" s="363">
        <v>0</v>
      </c>
      <c r="BO338" s="363">
        <v>0</v>
      </c>
      <c r="BP338" s="363">
        <v>0</v>
      </c>
      <c r="BQ338" s="363">
        <v>0</v>
      </c>
      <c r="BR338" s="363">
        <v>0</v>
      </c>
      <c r="BS338" s="363">
        <v>0</v>
      </c>
      <c r="BT338" s="363">
        <v>0</v>
      </c>
      <c r="BU338" s="363">
        <v>0</v>
      </c>
      <c r="BV338" s="363">
        <v>0</v>
      </c>
      <c r="BW338" s="363">
        <v>0</v>
      </c>
      <c r="BX338" s="363">
        <v>0</v>
      </c>
      <c r="BY338" s="363">
        <v>0</v>
      </c>
      <c r="BZ338" s="363">
        <v>0</v>
      </c>
      <c r="CA338" s="363">
        <v>0</v>
      </c>
      <c r="CB338" s="363">
        <v>0</v>
      </c>
      <c r="CC338" s="363">
        <v>0</v>
      </c>
      <c r="CD338" s="363">
        <v>0</v>
      </c>
      <c r="CE338" s="363">
        <v>0</v>
      </c>
      <c r="CF338" s="363">
        <v>0</v>
      </c>
      <c r="CG338" s="363">
        <v>0</v>
      </c>
      <c r="CH338" s="363">
        <v>0</v>
      </c>
      <c r="CI338" s="363">
        <v>0</v>
      </c>
      <c r="CJ338" s="363">
        <v>0</v>
      </c>
      <c r="CK338" s="363">
        <v>0</v>
      </c>
      <c r="CL338" s="363">
        <v>0</v>
      </c>
      <c r="CM338" s="363">
        <v>0</v>
      </c>
      <c r="CN338" s="363">
        <v>0</v>
      </c>
      <c r="CO338" s="363">
        <v>0</v>
      </c>
      <c r="CP338" s="363">
        <v>0</v>
      </c>
      <c r="CQ338" s="363">
        <v>0</v>
      </c>
      <c r="CR338" s="363">
        <v>0</v>
      </c>
      <c r="CS338" s="363">
        <v>0</v>
      </c>
      <c r="CT338" s="363">
        <v>0</v>
      </c>
      <c r="CU338" s="363">
        <v>0</v>
      </c>
      <c r="CV338" s="363">
        <v>0</v>
      </c>
      <c r="CW338" s="363">
        <v>0</v>
      </c>
      <c r="CX338" s="363">
        <v>0</v>
      </c>
      <c r="CY338" s="363">
        <v>0</v>
      </c>
      <c r="CZ338" s="363">
        <v>0</v>
      </c>
      <c r="DA338" s="363">
        <v>0</v>
      </c>
      <c r="DB338" s="363">
        <v>0</v>
      </c>
      <c r="DC338" s="363">
        <v>0</v>
      </c>
      <c r="DD338" s="363">
        <v>0</v>
      </c>
      <c r="DE338" s="363">
        <v>0</v>
      </c>
      <c r="DF338" s="363">
        <v>0</v>
      </c>
      <c r="DG338" s="363">
        <v>0</v>
      </c>
      <c r="DH338" s="363">
        <v>0</v>
      </c>
      <c r="DI338" s="363">
        <v>0</v>
      </c>
      <c r="DJ338" s="363">
        <v>0</v>
      </c>
      <c r="DK338" s="363">
        <v>0</v>
      </c>
      <c r="DL338" s="363">
        <v>0</v>
      </c>
      <c r="DM338" s="363">
        <v>0</v>
      </c>
      <c r="DN338" s="363">
        <v>0</v>
      </c>
      <c r="DO338" s="363">
        <v>0</v>
      </c>
      <c r="DP338" s="363">
        <v>0</v>
      </c>
      <c r="DQ338" s="363">
        <v>0</v>
      </c>
      <c r="DR338" s="363">
        <v>0</v>
      </c>
      <c r="DS338" s="363">
        <v>0</v>
      </c>
      <c r="DT338" s="363">
        <v>0</v>
      </c>
      <c r="DU338" s="363">
        <v>0</v>
      </c>
      <c r="DV338" s="363">
        <v>0</v>
      </c>
      <c r="DW338" s="544">
        <f t="shared" si="38"/>
        <v>0</v>
      </c>
      <c r="DX338" s="858"/>
      <c r="DY338" s="705"/>
      <c r="DZ338" s="871"/>
      <c r="EA338" s="873"/>
      <c r="EB338" s="859"/>
      <c r="EC338" s="859"/>
      <c r="ED338" s="859"/>
      <c r="EE338" s="859"/>
      <c r="EF338" s="861"/>
      <c r="EG338" s="1106"/>
      <c r="EI338" s="858"/>
      <c r="EJ338" s="877"/>
      <c r="ER338" s="497"/>
    </row>
    <row r="339" spans="1:148" s="278" customFormat="1" ht="12.75" outlineLevel="2" thickBot="1" x14ac:dyDescent="0.25">
      <c r="A339" s="930"/>
      <c r="B339" s="887"/>
      <c r="C339" s="904"/>
      <c r="D339" s="865"/>
      <c r="E339" s="875"/>
      <c r="F339" s="315" t="s">
        <v>211</v>
      </c>
      <c r="G339" s="364">
        <v>0</v>
      </c>
      <c r="H339" s="364">
        <v>0</v>
      </c>
      <c r="I339" s="364">
        <v>0</v>
      </c>
      <c r="J339" s="364">
        <v>0</v>
      </c>
      <c r="K339" s="364">
        <v>0</v>
      </c>
      <c r="L339" s="364">
        <v>0</v>
      </c>
      <c r="M339" s="364">
        <v>0</v>
      </c>
      <c r="N339" s="364">
        <v>0</v>
      </c>
      <c r="O339" s="364">
        <v>0</v>
      </c>
      <c r="P339" s="364">
        <v>0</v>
      </c>
      <c r="Q339" s="364">
        <v>0</v>
      </c>
      <c r="R339" s="364">
        <v>0</v>
      </c>
      <c r="S339" s="364">
        <v>0</v>
      </c>
      <c r="T339" s="364">
        <v>0</v>
      </c>
      <c r="U339" s="364">
        <v>0</v>
      </c>
      <c r="V339" s="364">
        <v>0</v>
      </c>
      <c r="W339" s="364">
        <v>0</v>
      </c>
      <c r="X339" s="364">
        <v>0</v>
      </c>
      <c r="Y339" s="364">
        <v>0</v>
      </c>
      <c r="Z339" s="364">
        <v>0</v>
      </c>
      <c r="AA339" s="364">
        <v>0</v>
      </c>
      <c r="AB339" s="364">
        <v>0</v>
      </c>
      <c r="AC339" s="364">
        <v>0</v>
      </c>
      <c r="AD339" s="364">
        <v>0</v>
      </c>
      <c r="AE339" s="364">
        <v>0</v>
      </c>
      <c r="AF339" s="364">
        <v>0</v>
      </c>
      <c r="AG339" s="364">
        <v>0</v>
      </c>
      <c r="AH339" s="364">
        <v>0</v>
      </c>
      <c r="AI339" s="364">
        <v>0</v>
      </c>
      <c r="AJ339" s="364">
        <v>0</v>
      </c>
      <c r="AK339" s="364">
        <v>0</v>
      </c>
      <c r="AL339" s="364">
        <v>0</v>
      </c>
      <c r="AM339" s="364">
        <v>0</v>
      </c>
      <c r="AN339" s="364">
        <v>0</v>
      </c>
      <c r="AO339" s="364">
        <v>0</v>
      </c>
      <c r="AP339" s="364">
        <v>0</v>
      </c>
      <c r="AQ339" s="364">
        <v>0</v>
      </c>
      <c r="AR339" s="364">
        <v>0</v>
      </c>
      <c r="AS339" s="364">
        <v>0</v>
      </c>
      <c r="AT339" s="364">
        <v>0</v>
      </c>
      <c r="AU339" s="364">
        <v>0</v>
      </c>
      <c r="AV339" s="364">
        <v>0</v>
      </c>
      <c r="AW339" s="364">
        <v>0</v>
      </c>
      <c r="AX339" s="364">
        <v>0</v>
      </c>
      <c r="AY339" s="364">
        <v>0</v>
      </c>
      <c r="AZ339" s="364">
        <v>0</v>
      </c>
      <c r="BA339" s="364">
        <v>0</v>
      </c>
      <c r="BB339" s="364">
        <v>0</v>
      </c>
      <c r="BC339" s="363">
        <v>0</v>
      </c>
      <c r="BD339" s="363">
        <v>0</v>
      </c>
      <c r="BE339" s="363">
        <v>0</v>
      </c>
      <c r="BF339" s="363">
        <v>0</v>
      </c>
      <c r="BG339" s="363">
        <v>0</v>
      </c>
      <c r="BH339" s="363">
        <v>0</v>
      </c>
      <c r="BI339" s="363">
        <v>0</v>
      </c>
      <c r="BJ339" s="363">
        <v>0</v>
      </c>
      <c r="BK339" s="363">
        <v>0</v>
      </c>
      <c r="BL339" s="363">
        <v>0</v>
      </c>
      <c r="BM339" s="363">
        <v>0</v>
      </c>
      <c r="BN339" s="363">
        <v>0</v>
      </c>
      <c r="BO339" s="363">
        <v>0</v>
      </c>
      <c r="BP339" s="363">
        <v>0</v>
      </c>
      <c r="BQ339" s="363">
        <v>0</v>
      </c>
      <c r="BR339" s="363">
        <v>0</v>
      </c>
      <c r="BS339" s="363">
        <v>0</v>
      </c>
      <c r="BT339" s="363">
        <v>0</v>
      </c>
      <c r="BU339" s="363">
        <v>0</v>
      </c>
      <c r="BV339" s="363">
        <v>0</v>
      </c>
      <c r="BW339" s="363">
        <v>0</v>
      </c>
      <c r="BX339" s="363">
        <v>0</v>
      </c>
      <c r="BY339" s="363">
        <v>0</v>
      </c>
      <c r="BZ339" s="363">
        <v>0</v>
      </c>
      <c r="CA339" s="363">
        <v>0</v>
      </c>
      <c r="CB339" s="363">
        <v>0</v>
      </c>
      <c r="CC339" s="363">
        <v>0</v>
      </c>
      <c r="CD339" s="363">
        <v>0</v>
      </c>
      <c r="CE339" s="363">
        <v>0</v>
      </c>
      <c r="CF339" s="363">
        <v>0</v>
      </c>
      <c r="CG339" s="363">
        <v>0</v>
      </c>
      <c r="CH339" s="363">
        <v>0</v>
      </c>
      <c r="CI339" s="363">
        <v>0</v>
      </c>
      <c r="CJ339" s="363">
        <v>0</v>
      </c>
      <c r="CK339" s="363">
        <v>0</v>
      </c>
      <c r="CL339" s="363">
        <v>0</v>
      </c>
      <c r="CM339" s="363">
        <v>0</v>
      </c>
      <c r="CN339" s="363">
        <v>0</v>
      </c>
      <c r="CO339" s="363">
        <v>0</v>
      </c>
      <c r="CP339" s="363">
        <v>0</v>
      </c>
      <c r="CQ339" s="363">
        <v>0</v>
      </c>
      <c r="CR339" s="363">
        <v>0</v>
      </c>
      <c r="CS339" s="363">
        <v>0</v>
      </c>
      <c r="CT339" s="363">
        <v>0</v>
      </c>
      <c r="CU339" s="363">
        <v>0</v>
      </c>
      <c r="CV339" s="363">
        <v>0</v>
      </c>
      <c r="CW339" s="363">
        <v>0</v>
      </c>
      <c r="CX339" s="363">
        <v>0</v>
      </c>
      <c r="CY339" s="363">
        <v>0</v>
      </c>
      <c r="CZ339" s="363">
        <v>0</v>
      </c>
      <c r="DA339" s="363">
        <v>0</v>
      </c>
      <c r="DB339" s="363">
        <v>0</v>
      </c>
      <c r="DC339" s="363">
        <v>0</v>
      </c>
      <c r="DD339" s="363">
        <v>0</v>
      </c>
      <c r="DE339" s="363">
        <v>0</v>
      </c>
      <c r="DF339" s="363">
        <v>0</v>
      </c>
      <c r="DG339" s="363">
        <v>0</v>
      </c>
      <c r="DH339" s="363">
        <v>0</v>
      </c>
      <c r="DI339" s="363">
        <v>0</v>
      </c>
      <c r="DJ339" s="363">
        <v>0</v>
      </c>
      <c r="DK339" s="363">
        <v>0</v>
      </c>
      <c r="DL339" s="363">
        <v>0</v>
      </c>
      <c r="DM339" s="363">
        <v>0</v>
      </c>
      <c r="DN339" s="363">
        <v>0</v>
      </c>
      <c r="DO339" s="363">
        <v>0</v>
      </c>
      <c r="DP339" s="363">
        <v>0</v>
      </c>
      <c r="DQ339" s="363">
        <v>0</v>
      </c>
      <c r="DR339" s="364">
        <v>0</v>
      </c>
      <c r="DS339" s="364">
        <v>0</v>
      </c>
      <c r="DT339" s="364">
        <v>0</v>
      </c>
      <c r="DU339" s="364">
        <v>0</v>
      </c>
      <c r="DV339" s="364">
        <v>0</v>
      </c>
      <c r="DW339" s="545">
        <f t="shared" si="38"/>
        <v>0</v>
      </c>
      <c r="DX339" s="858"/>
      <c r="DY339" s="706"/>
      <c r="DZ339" s="872"/>
      <c r="EA339" s="873"/>
      <c r="EB339" s="859"/>
      <c r="EC339" s="859"/>
      <c r="ED339" s="859"/>
      <c r="EE339" s="859"/>
      <c r="EF339" s="861"/>
      <c r="EG339" s="1107"/>
      <c r="EI339" s="858"/>
      <c r="EJ339" s="877"/>
      <c r="ER339" s="497"/>
    </row>
    <row r="340" spans="1:148" s="278" customFormat="1" ht="24" outlineLevel="2" x14ac:dyDescent="0.2">
      <c r="A340" s="928"/>
      <c r="B340" s="897" t="s">
        <v>172</v>
      </c>
      <c r="C340" s="902">
        <v>3</v>
      </c>
      <c r="D340" s="863">
        <f>+IFERROR(VLOOKUP(B340,'Detalle Plan de Adquisiciones'!$G$95:$L$153,6,FALSE),0)</f>
        <v>0</v>
      </c>
      <c r="E340" s="866" t="str">
        <f>+'Detalle Plan de Adquisiciones'!F142</f>
        <v>INTERVENTORÍA TÉCNICA, ADMINISTRATIVA, FINANCIERA Y AMBIENTAL AL CONTRATO CUYO OBJETO ES: PTN EN LA DIAGONAL 2E ENTRE TRANSVERSAL 9 Y EL CEMENTERIO DEL P5.</v>
      </c>
      <c r="F340" s="312" t="s">
        <v>410</v>
      </c>
      <c r="G340" s="354">
        <v>0</v>
      </c>
      <c r="H340" s="354">
        <v>0</v>
      </c>
      <c r="I340" s="354">
        <v>0</v>
      </c>
      <c r="J340" s="354">
        <v>0</v>
      </c>
      <c r="K340" s="354">
        <v>0</v>
      </c>
      <c r="L340" s="354">
        <v>0</v>
      </c>
      <c r="M340" s="354">
        <v>0</v>
      </c>
      <c r="N340" s="354">
        <v>0</v>
      </c>
      <c r="O340" s="354">
        <v>0</v>
      </c>
      <c r="P340" s="354">
        <v>0</v>
      </c>
      <c r="Q340" s="354">
        <v>0</v>
      </c>
      <c r="R340" s="354">
        <v>0</v>
      </c>
      <c r="S340" s="354">
        <v>0</v>
      </c>
      <c r="T340" s="354">
        <v>0</v>
      </c>
      <c r="U340" s="354">
        <v>0</v>
      </c>
      <c r="V340" s="354">
        <v>0</v>
      </c>
      <c r="W340" s="354">
        <v>0</v>
      </c>
      <c r="X340" s="354">
        <v>0</v>
      </c>
      <c r="Y340" s="354">
        <v>0</v>
      </c>
      <c r="Z340" s="354">
        <v>0</v>
      </c>
      <c r="AA340" s="354">
        <v>0</v>
      </c>
      <c r="AB340" s="354">
        <v>0</v>
      </c>
      <c r="AC340" s="354">
        <v>0</v>
      </c>
      <c r="AD340" s="354">
        <v>0</v>
      </c>
      <c r="AE340" s="354">
        <v>0</v>
      </c>
      <c r="AF340" s="354">
        <v>0</v>
      </c>
      <c r="AG340" s="354">
        <v>0</v>
      </c>
      <c r="AH340" s="354">
        <v>0</v>
      </c>
      <c r="AI340" s="354">
        <v>0</v>
      </c>
      <c r="AJ340" s="354">
        <v>0</v>
      </c>
      <c r="AK340" s="354">
        <v>0</v>
      </c>
      <c r="AL340" s="354">
        <v>0</v>
      </c>
      <c r="AM340" s="354">
        <v>0</v>
      </c>
      <c r="AN340" s="354">
        <v>0</v>
      </c>
      <c r="AO340" s="354">
        <v>0</v>
      </c>
      <c r="AP340" s="354">
        <v>0</v>
      </c>
      <c r="AQ340" s="354">
        <v>0</v>
      </c>
      <c r="AR340" s="354">
        <v>0</v>
      </c>
      <c r="AS340" s="354">
        <v>0</v>
      </c>
      <c r="AT340" s="354">
        <v>0</v>
      </c>
      <c r="AU340" s="354">
        <v>0</v>
      </c>
      <c r="AV340" s="354">
        <v>0</v>
      </c>
      <c r="AW340" s="354">
        <v>0</v>
      </c>
      <c r="AX340" s="354">
        <v>0</v>
      </c>
      <c r="AY340" s="354">
        <v>0</v>
      </c>
      <c r="AZ340" s="354">
        <v>0</v>
      </c>
      <c r="BA340" s="354">
        <v>0</v>
      </c>
      <c r="BB340" s="354">
        <v>0</v>
      </c>
      <c r="BC340" s="363">
        <v>0</v>
      </c>
      <c r="BD340" s="363">
        <v>0</v>
      </c>
      <c r="BE340" s="363">
        <v>0</v>
      </c>
      <c r="BF340" s="363">
        <v>0</v>
      </c>
      <c r="BG340" s="363">
        <v>0</v>
      </c>
      <c r="BH340" s="363">
        <v>0</v>
      </c>
      <c r="BI340" s="363">
        <v>0</v>
      </c>
      <c r="BJ340" s="363">
        <v>0</v>
      </c>
      <c r="BK340" s="363">
        <v>0</v>
      </c>
      <c r="BL340" s="363">
        <v>0</v>
      </c>
      <c r="BM340" s="363">
        <v>0</v>
      </c>
      <c r="BN340" s="363">
        <v>0</v>
      </c>
      <c r="BO340" s="363">
        <v>0</v>
      </c>
      <c r="BP340" s="363">
        <v>0</v>
      </c>
      <c r="BQ340" s="363">
        <v>0</v>
      </c>
      <c r="BR340" s="363">
        <v>0</v>
      </c>
      <c r="BS340" s="363">
        <v>0</v>
      </c>
      <c r="BT340" s="363">
        <v>0</v>
      </c>
      <c r="BU340" s="363">
        <v>0</v>
      </c>
      <c r="BV340" s="363">
        <v>0</v>
      </c>
      <c r="BW340" s="363">
        <v>0</v>
      </c>
      <c r="BX340" s="363">
        <v>0</v>
      </c>
      <c r="BY340" s="363">
        <v>0</v>
      </c>
      <c r="BZ340" s="363">
        <v>0</v>
      </c>
      <c r="CA340" s="363">
        <v>0</v>
      </c>
      <c r="CB340" s="363">
        <v>0</v>
      </c>
      <c r="CC340" s="363">
        <v>0</v>
      </c>
      <c r="CD340" s="363">
        <v>0</v>
      </c>
      <c r="CE340" s="363">
        <v>0</v>
      </c>
      <c r="CF340" s="363">
        <v>0</v>
      </c>
      <c r="CG340" s="363">
        <v>0</v>
      </c>
      <c r="CH340" s="363">
        <v>0</v>
      </c>
      <c r="CI340" s="363">
        <v>0</v>
      </c>
      <c r="CJ340" s="363">
        <v>0</v>
      </c>
      <c r="CK340" s="363">
        <v>0</v>
      </c>
      <c r="CL340" s="363">
        <v>0</v>
      </c>
      <c r="CM340" s="363">
        <v>0</v>
      </c>
      <c r="CN340" s="363">
        <v>0</v>
      </c>
      <c r="CO340" s="363">
        <v>0</v>
      </c>
      <c r="CP340" s="363">
        <v>0</v>
      </c>
      <c r="CQ340" s="363">
        <v>0</v>
      </c>
      <c r="CR340" s="363">
        <v>0</v>
      </c>
      <c r="CS340" s="363">
        <v>0</v>
      </c>
      <c r="CT340" s="363">
        <v>0</v>
      </c>
      <c r="CU340" s="363">
        <v>0</v>
      </c>
      <c r="CV340" s="363">
        <v>0</v>
      </c>
      <c r="CW340" s="363">
        <v>0</v>
      </c>
      <c r="CX340" s="363">
        <v>0</v>
      </c>
      <c r="CY340" s="363">
        <v>0</v>
      </c>
      <c r="CZ340" s="363">
        <v>0</v>
      </c>
      <c r="DA340" s="363">
        <v>0</v>
      </c>
      <c r="DB340" s="363">
        <v>0</v>
      </c>
      <c r="DC340" s="363">
        <v>0</v>
      </c>
      <c r="DD340" s="363">
        <v>0</v>
      </c>
      <c r="DE340" s="363">
        <v>0</v>
      </c>
      <c r="DF340" s="363">
        <v>0</v>
      </c>
      <c r="DG340" s="363">
        <v>0</v>
      </c>
      <c r="DH340" s="363">
        <v>0</v>
      </c>
      <c r="DI340" s="363">
        <v>0</v>
      </c>
      <c r="DJ340" s="363">
        <v>0</v>
      </c>
      <c r="DK340" s="363">
        <v>0</v>
      </c>
      <c r="DL340" s="363">
        <v>0</v>
      </c>
      <c r="DM340" s="363">
        <v>0</v>
      </c>
      <c r="DN340" s="363">
        <v>0</v>
      </c>
      <c r="DO340" s="363">
        <v>0</v>
      </c>
      <c r="DP340" s="363">
        <v>0</v>
      </c>
      <c r="DQ340" s="363">
        <v>0</v>
      </c>
      <c r="DR340" s="354">
        <v>0</v>
      </c>
      <c r="DS340" s="354">
        <v>0</v>
      </c>
      <c r="DT340" s="354">
        <v>0</v>
      </c>
      <c r="DU340" s="354">
        <v>0</v>
      </c>
      <c r="DV340" s="354">
        <v>0</v>
      </c>
      <c r="DW340" s="543">
        <f t="shared" si="38"/>
        <v>0</v>
      </c>
      <c r="DX340" s="858">
        <f>DW340+DW341+DW342</f>
        <v>0</v>
      </c>
      <c r="DY340" s="704">
        <f>+DX340*1000000</f>
        <v>0</v>
      </c>
      <c r="DZ340" s="870">
        <f>+DY340-D340</f>
        <v>0</v>
      </c>
      <c r="EA340" s="873" t="str">
        <f>VLOOKUP(POA!$B340,INTERPLAN,28,0)</f>
        <v>N/A</v>
      </c>
      <c r="EB340" s="859" t="e">
        <f>+EDATE(EA340,C340)</f>
        <v>#VALUE!</v>
      </c>
      <c r="EC340" s="859" t="e">
        <f>EB340+30</f>
        <v>#VALUE!</v>
      </c>
      <c r="ED340" s="859" t="e">
        <f>CONCATENATE(MONTH(EA340),"-",YEAR(EA340))</f>
        <v>#VALUE!</v>
      </c>
      <c r="EE340" s="859" t="e">
        <f>CONCATENATE(MONTH(EB340),"-",YEAR(EB340))</f>
        <v>#VALUE!</v>
      </c>
      <c r="EF340" s="861" t="e">
        <f>CONCATENATE(MONTH(EC340),"-",YEAR(EC340))</f>
        <v>#VALUE!</v>
      </c>
      <c r="EG340" s="1105"/>
      <c r="EI340" s="858">
        <f>+DW340+DW341+DW342</f>
        <v>0</v>
      </c>
      <c r="EJ340" s="877">
        <f>+D340/1000000-EI340</f>
        <v>0</v>
      </c>
      <c r="ER340" s="497"/>
    </row>
    <row r="341" spans="1:148" s="278" customFormat="1" outlineLevel="2" x14ac:dyDescent="0.2">
      <c r="A341" s="929"/>
      <c r="B341" s="886"/>
      <c r="C341" s="903"/>
      <c r="D341" s="864"/>
      <c r="E341" s="867"/>
      <c r="F341" s="311" t="s">
        <v>210</v>
      </c>
      <c r="G341" s="363">
        <v>0</v>
      </c>
      <c r="H341" s="363">
        <v>0</v>
      </c>
      <c r="I341" s="363">
        <v>0</v>
      </c>
      <c r="J341" s="363">
        <v>0</v>
      </c>
      <c r="K341" s="363">
        <v>0</v>
      </c>
      <c r="L341" s="363">
        <v>0</v>
      </c>
      <c r="M341" s="363">
        <v>0</v>
      </c>
      <c r="N341" s="363">
        <v>0</v>
      </c>
      <c r="O341" s="363">
        <v>0</v>
      </c>
      <c r="P341" s="363">
        <v>0</v>
      </c>
      <c r="Q341" s="363">
        <v>0</v>
      </c>
      <c r="R341" s="363">
        <v>0</v>
      </c>
      <c r="S341" s="363">
        <v>0</v>
      </c>
      <c r="T341" s="363">
        <v>0</v>
      </c>
      <c r="U341" s="363">
        <v>0</v>
      </c>
      <c r="V341" s="363">
        <v>0</v>
      </c>
      <c r="W341" s="363">
        <v>0</v>
      </c>
      <c r="X341" s="363">
        <v>0</v>
      </c>
      <c r="Y341" s="363">
        <v>0</v>
      </c>
      <c r="Z341" s="363">
        <v>0</v>
      </c>
      <c r="AA341" s="363">
        <v>0</v>
      </c>
      <c r="AB341" s="363">
        <v>0</v>
      </c>
      <c r="AC341" s="363">
        <v>0</v>
      </c>
      <c r="AD341" s="363">
        <v>0</v>
      </c>
      <c r="AE341" s="363">
        <v>0</v>
      </c>
      <c r="AF341" s="363">
        <v>0</v>
      </c>
      <c r="AG341" s="363">
        <v>0</v>
      </c>
      <c r="AH341" s="363">
        <v>0</v>
      </c>
      <c r="AI341" s="363">
        <v>0</v>
      </c>
      <c r="AJ341" s="363">
        <v>0</v>
      </c>
      <c r="AK341" s="363">
        <v>0</v>
      </c>
      <c r="AL341" s="363">
        <v>0</v>
      </c>
      <c r="AM341" s="363">
        <v>0</v>
      </c>
      <c r="AN341" s="363">
        <v>0</v>
      </c>
      <c r="AO341" s="363">
        <v>0</v>
      </c>
      <c r="AP341" s="363">
        <v>0</v>
      </c>
      <c r="AQ341" s="363">
        <v>0</v>
      </c>
      <c r="AR341" s="363">
        <v>0</v>
      </c>
      <c r="AS341" s="363">
        <v>0</v>
      </c>
      <c r="AT341" s="363">
        <v>0</v>
      </c>
      <c r="AU341" s="363">
        <v>0</v>
      </c>
      <c r="AV341" s="363">
        <v>0</v>
      </c>
      <c r="AW341" s="363">
        <v>0</v>
      </c>
      <c r="AX341" s="363">
        <v>0</v>
      </c>
      <c r="AY341" s="363">
        <v>0</v>
      </c>
      <c r="AZ341" s="363">
        <v>0</v>
      </c>
      <c r="BA341" s="363">
        <v>0</v>
      </c>
      <c r="BB341" s="363">
        <v>0</v>
      </c>
      <c r="BC341" s="363">
        <v>0</v>
      </c>
      <c r="BD341" s="363">
        <v>0</v>
      </c>
      <c r="BE341" s="363">
        <v>0</v>
      </c>
      <c r="BF341" s="363">
        <v>0</v>
      </c>
      <c r="BG341" s="363">
        <v>0</v>
      </c>
      <c r="BH341" s="363">
        <v>0</v>
      </c>
      <c r="BI341" s="363">
        <v>0</v>
      </c>
      <c r="BJ341" s="363">
        <v>0</v>
      </c>
      <c r="BK341" s="363">
        <v>0</v>
      </c>
      <c r="BL341" s="363">
        <v>0</v>
      </c>
      <c r="BM341" s="363">
        <v>0</v>
      </c>
      <c r="BN341" s="363">
        <v>0</v>
      </c>
      <c r="BO341" s="363">
        <v>0</v>
      </c>
      <c r="BP341" s="363">
        <v>0</v>
      </c>
      <c r="BQ341" s="363">
        <v>0</v>
      </c>
      <c r="BR341" s="363">
        <v>0</v>
      </c>
      <c r="BS341" s="363">
        <v>0</v>
      </c>
      <c r="BT341" s="363">
        <v>0</v>
      </c>
      <c r="BU341" s="363">
        <v>0</v>
      </c>
      <c r="BV341" s="363">
        <v>0</v>
      </c>
      <c r="BW341" s="363">
        <v>0</v>
      </c>
      <c r="BX341" s="363">
        <v>0</v>
      </c>
      <c r="BY341" s="363">
        <v>0</v>
      </c>
      <c r="BZ341" s="363">
        <v>0</v>
      </c>
      <c r="CA341" s="363">
        <v>0</v>
      </c>
      <c r="CB341" s="363">
        <v>0</v>
      </c>
      <c r="CC341" s="363">
        <v>0</v>
      </c>
      <c r="CD341" s="363">
        <v>0</v>
      </c>
      <c r="CE341" s="363">
        <v>0</v>
      </c>
      <c r="CF341" s="363">
        <v>0</v>
      </c>
      <c r="CG341" s="363">
        <v>0</v>
      </c>
      <c r="CH341" s="363">
        <v>0</v>
      </c>
      <c r="CI341" s="363">
        <v>0</v>
      </c>
      <c r="CJ341" s="363">
        <v>0</v>
      </c>
      <c r="CK341" s="363">
        <v>0</v>
      </c>
      <c r="CL341" s="363">
        <v>0</v>
      </c>
      <c r="CM341" s="363">
        <v>0</v>
      </c>
      <c r="CN341" s="363">
        <v>0</v>
      </c>
      <c r="CO341" s="363">
        <v>0</v>
      </c>
      <c r="CP341" s="363">
        <v>0</v>
      </c>
      <c r="CQ341" s="363">
        <v>0</v>
      </c>
      <c r="CR341" s="363">
        <v>0</v>
      </c>
      <c r="CS341" s="363">
        <v>0</v>
      </c>
      <c r="CT341" s="363">
        <v>0</v>
      </c>
      <c r="CU341" s="363">
        <v>0</v>
      </c>
      <c r="CV341" s="363">
        <v>0</v>
      </c>
      <c r="CW341" s="363">
        <v>0</v>
      </c>
      <c r="CX341" s="363">
        <v>0</v>
      </c>
      <c r="CY341" s="363">
        <v>0</v>
      </c>
      <c r="CZ341" s="363">
        <v>0</v>
      </c>
      <c r="DA341" s="363">
        <v>0</v>
      </c>
      <c r="DB341" s="363">
        <v>0</v>
      </c>
      <c r="DC341" s="363">
        <v>0</v>
      </c>
      <c r="DD341" s="363">
        <v>0</v>
      </c>
      <c r="DE341" s="363">
        <v>0</v>
      </c>
      <c r="DF341" s="363">
        <v>0</v>
      </c>
      <c r="DG341" s="363">
        <v>0</v>
      </c>
      <c r="DH341" s="363">
        <v>0</v>
      </c>
      <c r="DI341" s="363">
        <v>0</v>
      </c>
      <c r="DJ341" s="363">
        <v>0</v>
      </c>
      <c r="DK341" s="363">
        <v>0</v>
      </c>
      <c r="DL341" s="363">
        <v>0</v>
      </c>
      <c r="DM341" s="363">
        <v>0</v>
      </c>
      <c r="DN341" s="363">
        <v>0</v>
      </c>
      <c r="DO341" s="363">
        <v>0</v>
      </c>
      <c r="DP341" s="363">
        <v>0</v>
      </c>
      <c r="DQ341" s="363">
        <v>0</v>
      </c>
      <c r="DR341" s="363">
        <v>0</v>
      </c>
      <c r="DS341" s="363">
        <v>0</v>
      </c>
      <c r="DT341" s="363">
        <v>0</v>
      </c>
      <c r="DU341" s="363">
        <v>0</v>
      </c>
      <c r="DV341" s="363">
        <v>0</v>
      </c>
      <c r="DW341" s="544">
        <f t="shared" si="38"/>
        <v>0</v>
      </c>
      <c r="DX341" s="858"/>
      <c r="DY341" s="705"/>
      <c r="DZ341" s="871"/>
      <c r="EA341" s="873"/>
      <c r="EB341" s="859"/>
      <c r="EC341" s="859"/>
      <c r="ED341" s="859"/>
      <c r="EE341" s="859"/>
      <c r="EF341" s="861"/>
      <c r="EG341" s="1106"/>
      <c r="EI341" s="858"/>
      <c r="EJ341" s="877"/>
      <c r="ER341" s="497"/>
    </row>
    <row r="342" spans="1:148" s="278" customFormat="1" ht="12.75" outlineLevel="2" thickBot="1" x14ac:dyDescent="0.25">
      <c r="A342" s="1072"/>
      <c r="B342" s="908"/>
      <c r="C342" s="909"/>
      <c r="D342" s="865"/>
      <c r="E342" s="875"/>
      <c r="F342" s="313" t="s">
        <v>211</v>
      </c>
      <c r="G342" s="387">
        <v>0</v>
      </c>
      <c r="H342" s="387">
        <v>0</v>
      </c>
      <c r="I342" s="387">
        <v>0</v>
      </c>
      <c r="J342" s="387">
        <v>0</v>
      </c>
      <c r="K342" s="387">
        <v>0</v>
      </c>
      <c r="L342" s="387">
        <v>0</v>
      </c>
      <c r="M342" s="387">
        <v>0</v>
      </c>
      <c r="N342" s="387">
        <v>0</v>
      </c>
      <c r="O342" s="387">
        <v>0</v>
      </c>
      <c r="P342" s="387">
        <v>0</v>
      </c>
      <c r="Q342" s="387">
        <v>0</v>
      </c>
      <c r="R342" s="387">
        <v>0</v>
      </c>
      <c r="S342" s="387">
        <v>0</v>
      </c>
      <c r="T342" s="387">
        <v>0</v>
      </c>
      <c r="U342" s="387">
        <v>0</v>
      </c>
      <c r="V342" s="387">
        <v>0</v>
      </c>
      <c r="W342" s="387">
        <v>0</v>
      </c>
      <c r="X342" s="387">
        <v>0</v>
      </c>
      <c r="Y342" s="387">
        <v>0</v>
      </c>
      <c r="Z342" s="387">
        <v>0</v>
      </c>
      <c r="AA342" s="387">
        <v>0</v>
      </c>
      <c r="AB342" s="387">
        <v>0</v>
      </c>
      <c r="AC342" s="387">
        <v>0</v>
      </c>
      <c r="AD342" s="387">
        <v>0</v>
      </c>
      <c r="AE342" s="387">
        <v>0</v>
      </c>
      <c r="AF342" s="387">
        <v>0</v>
      </c>
      <c r="AG342" s="387">
        <v>0</v>
      </c>
      <c r="AH342" s="387">
        <v>0</v>
      </c>
      <c r="AI342" s="387">
        <v>0</v>
      </c>
      <c r="AJ342" s="387">
        <v>0</v>
      </c>
      <c r="AK342" s="387">
        <v>0</v>
      </c>
      <c r="AL342" s="387">
        <v>0</v>
      </c>
      <c r="AM342" s="387">
        <v>0</v>
      </c>
      <c r="AN342" s="387">
        <v>0</v>
      </c>
      <c r="AO342" s="387">
        <v>0</v>
      </c>
      <c r="AP342" s="387">
        <v>0</v>
      </c>
      <c r="AQ342" s="387">
        <v>0</v>
      </c>
      <c r="AR342" s="387">
        <v>0</v>
      </c>
      <c r="AS342" s="387">
        <v>0</v>
      </c>
      <c r="AT342" s="387">
        <v>0</v>
      </c>
      <c r="AU342" s="387">
        <v>0</v>
      </c>
      <c r="AV342" s="387">
        <v>0</v>
      </c>
      <c r="AW342" s="387">
        <v>0</v>
      </c>
      <c r="AX342" s="387">
        <v>0</v>
      </c>
      <c r="AY342" s="387">
        <v>0</v>
      </c>
      <c r="AZ342" s="387">
        <v>0</v>
      </c>
      <c r="BA342" s="387">
        <v>0</v>
      </c>
      <c r="BB342" s="387">
        <v>0</v>
      </c>
      <c r="BC342" s="363">
        <v>0</v>
      </c>
      <c r="BD342" s="363">
        <v>0</v>
      </c>
      <c r="BE342" s="363">
        <v>0</v>
      </c>
      <c r="BF342" s="363">
        <v>0</v>
      </c>
      <c r="BG342" s="363">
        <v>0</v>
      </c>
      <c r="BH342" s="363">
        <v>0</v>
      </c>
      <c r="BI342" s="363">
        <v>0</v>
      </c>
      <c r="BJ342" s="363">
        <v>0</v>
      </c>
      <c r="BK342" s="363">
        <v>0</v>
      </c>
      <c r="BL342" s="363">
        <v>0</v>
      </c>
      <c r="BM342" s="363">
        <v>0</v>
      </c>
      <c r="BN342" s="363">
        <v>0</v>
      </c>
      <c r="BO342" s="363">
        <v>0</v>
      </c>
      <c r="BP342" s="363">
        <v>0</v>
      </c>
      <c r="BQ342" s="363">
        <v>0</v>
      </c>
      <c r="BR342" s="363">
        <v>0</v>
      </c>
      <c r="BS342" s="363">
        <v>0</v>
      </c>
      <c r="BT342" s="363">
        <v>0</v>
      </c>
      <c r="BU342" s="363">
        <v>0</v>
      </c>
      <c r="BV342" s="363">
        <v>0</v>
      </c>
      <c r="BW342" s="363">
        <v>0</v>
      </c>
      <c r="BX342" s="363">
        <v>0</v>
      </c>
      <c r="BY342" s="363">
        <v>0</v>
      </c>
      <c r="BZ342" s="363">
        <v>0</v>
      </c>
      <c r="CA342" s="363">
        <v>0</v>
      </c>
      <c r="CB342" s="363">
        <v>0</v>
      </c>
      <c r="CC342" s="363">
        <v>0</v>
      </c>
      <c r="CD342" s="363">
        <v>0</v>
      </c>
      <c r="CE342" s="363">
        <v>0</v>
      </c>
      <c r="CF342" s="363">
        <v>0</v>
      </c>
      <c r="CG342" s="363">
        <v>0</v>
      </c>
      <c r="CH342" s="363">
        <v>0</v>
      </c>
      <c r="CI342" s="363">
        <v>0</v>
      </c>
      <c r="CJ342" s="363">
        <v>0</v>
      </c>
      <c r="CK342" s="363">
        <v>0</v>
      </c>
      <c r="CL342" s="363">
        <v>0</v>
      </c>
      <c r="CM342" s="363">
        <v>0</v>
      </c>
      <c r="CN342" s="363">
        <v>0</v>
      </c>
      <c r="CO342" s="363">
        <v>0</v>
      </c>
      <c r="CP342" s="363">
        <v>0</v>
      </c>
      <c r="CQ342" s="363">
        <v>0</v>
      </c>
      <c r="CR342" s="363">
        <v>0</v>
      </c>
      <c r="CS342" s="363">
        <v>0</v>
      </c>
      <c r="CT342" s="363">
        <v>0</v>
      </c>
      <c r="CU342" s="363">
        <v>0</v>
      </c>
      <c r="CV342" s="363">
        <v>0</v>
      </c>
      <c r="CW342" s="363">
        <v>0</v>
      </c>
      <c r="CX342" s="363">
        <v>0</v>
      </c>
      <c r="CY342" s="363">
        <v>0</v>
      </c>
      <c r="CZ342" s="363">
        <v>0</v>
      </c>
      <c r="DA342" s="363">
        <v>0</v>
      </c>
      <c r="DB342" s="363">
        <v>0</v>
      </c>
      <c r="DC342" s="363">
        <v>0</v>
      </c>
      <c r="DD342" s="363">
        <v>0</v>
      </c>
      <c r="DE342" s="363">
        <v>0</v>
      </c>
      <c r="DF342" s="363">
        <v>0</v>
      </c>
      <c r="DG342" s="363">
        <v>0</v>
      </c>
      <c r="DH342" s="363">
        <v>0</v>
      </c>
      <c r="DI342" s="363">
        <v>0</v>
      </c>
      <c r="DJ342" s="363">
        <v>0</v>
      </c>
      <c r="DK342" s="363">
        <v>0</v>
      </c>
      <c r="DL342" s="363">
        <v>0</v>
      </c>
      <c r="DM342" s="363">
        <v>0</v>
      </c>
      <c r="DN342" s="363">
        <v>0</v>
      </c>
      <c r="DO342" s="363">
        <v>0</v>
      </c>
      <c r="DP342" s="363">
        <v>0</v>
      </c>
      <c r="DQ342" s="363">
        <v>0</v>
      </c>
      <c r="DR342" s="387">
        <v>0</v>
      </c>
      <c r="DS342" s="387">
        <v>0</v>
      </c>
      <c r="DT342" s="387">
        <v>0</v>
      </c>
      <c r="DU342" s="387">
        <v>0</v>
      </c>
      <c r="DV342" s="387">
        <v>0</v>
      </c>
      <c r="DW342" s="545">
        <f t="shared" si="38"/>
        <v>0</v>
      </c>
      <c r="DX342" s="858"/>
      <c r="DY342" s="706"/>
      <c r="DZ342" s="872"/>
      <c r="EA342" s="873"/>
      <c r="EB342" s="859"/>
      <c r="EC342" s="859"/>
      <c r="ED342" s="859"/>
      <c r="EE342" s="859"/>
      <c r="EF342" s="861"/>
      <c r="EG342" s="1107"/>
      <c r="EI342" s="858"/>
      <c r="EJ342" s="877"/>
      <c r="ER342" s="497"/>
    </row>
    <row r="343" spans="1:148" s="278" customFormat="1" ht="24" outlineLevel="2" x14ac:dyDescent="0.2">
      <c r="A343" s="1074"/>
      <c r="B343" s="885" t="s">
        <v>173</v>
      </c>
      <c r="C343" s="911">
        <v>3</v>
      </c>
      <c r="D343" s="863">
        <f>+IFERROR(VLOOKUP(B343,'Detalle Plan de Adquisiciones'!$G$95:$L$153,6,FALSE),0)</f>
        <v>0</v>
      </c>
      <c r="E343" s="889" t="str">
        <f>+'Detalle Plan de Adquisiciones'!F143</f>
        <v>INTERVENTORÍA TÉCNICA, ADMINISTRATIVA, FINANCIERA Y AMBIENTAL AL CONTRATO CUYO OBJETO ES: PTN EN LA DIAGONAL 2E ENTRE TRANSVERSAL 9 Y EL CEMENTERIO DEL P5.</v>
      </c>
      <c r="F343" s="312" t="s">
        <v>410</v>
      </c>
      <c r="G343" s="383">
        <v>0</v>
      </c>
      <c r="H343" s="383">
        <v>0</v>
      </c>
      <c r="I343" s="383">
        <v>0</v>
      </c>
      <c r="J343" s="383">
        <v>0</v>
      </c>
      <c r="K343" s="383">
        <v>0</v>
      </c>
      <c r="L343" s="383">
        <v>0</v>
      </c>
      <c r="M343" s="383">
        <v>0</v>
      </c>
      <c r="N343" s="383">
        <v>0</v>
      </c>
      <c r="O343" s="383">
        <v>0</v>
      </c>
      <c r="P343" s="383">
        <v>0</v>
      </c>
      <c r="Q343" s="383">
        <v>0</v>
      </c>
      <c r="R343" s="383">
        <v>0</v>
      </c>
      <c r="S343" s="383">
        <v>0</v>
      </c>
      <c r="T343" s="383">
        <v>0</v>
      </c>
      <c r="U343" s="383">
        <v>0</v>
      </c>
      <c r="V343" s="383">
        <v>0</v>
      </c>
      <c r="W343" s="383">
        <v>0</v>
      </c>
      <c r="X343" s="383">
        <v>0</v>
      </c>
      <c r="Y343" s="383">
        <v>0</v>
      </c>
      <c r="Z343" s="383">
        <v>0</v>
      </c>
      <c r="AA343" s="383">
        <v>0</v>
      </c>
      <c r="AB343" s="383">
        <v>0</v>
      </c>
      <c r="AC343" s="383">
        <v>0</v>
      </c>
      <c r="AD343" s="383">
        <v>0</v>
      </c>
      <c r="AE343" s="383">
        <v>0</v>
      </c>
      <c r="AF343" s="383">
        <v>0</v>
      </c>
      <c r="AG343" s="383">
        <v>0</v>
      </c>
      <c r="AH343" s="383">
        <v>0</v>
      </c>
      <c r="AI343" s="383">
        <v>0</v>
      </c>
      <c r="AJ343" s="383">
        <v>0</v>
      </c>
      <c r="AK343" s="383">
        <v>0</v>
      </c>
      <c r="AL343" s="383">
        <v>0</v>
      </c>
      <c r="AM343" s="383">
        <v>0</v>
      </c>
      <c r="AN343" s="383">
        <v>0</v>
      </c>
      <c r="AO343" s="383">
        <v>0</v>
      </c>
      <c r="AP343" s="383">
        <v>0</v>
      </c>
      <c r="AQ343" s="383">
        <v>0</v>
      </c>
      <c r="AR343" s="383">
        <v>0</v>
      </c>
      <c r="AS343" s="383">
        <v>0</v>
      </c>
      <c r="AT343" s="383">
        <v>0</v>
      </c>
      <c r="AU343" s="383">
        <v>0</v>
      </c>
      <c r="AV343" s="383">
        <v>0</v>
      </c>
      <c r="AW343" s="383">
        <v>0</v>
      </c>
      <c r="AX343" s="383">
        <v>0</v>
      </c>
      <c r="AY343" s="383">
        <v>0</v>
      </c>
      <c r="AZ343" s="383">
        <v>0</v>
      </c>
      <c r="BA343" s="383">
        <v>0</v>
      </c>
      <c r="BB343" s="383">
        <v>0</v>
      </c>
      <c r="BC343" s="363">
        <v>0</v>
      </c>
      <c r="BD343" s="363">
        <v>0</v>
      </c>
      <c r="BE343" s="363">
        <v>0</v>
      </c>
      <c r="BF343" s="363">
        <v>0</v>
      </c>
      <c r="BG343" s="363">
        <v>0</v>
      </c>
      <c r="BH343" s="363">
        <v>0</v>
      </c>
      <c r="BI343" s="363">
        <v>0</v>
      </c>
      <c r="BJ343" s="363">
        <v>0</v>
      </c>
      <c r="BK343" s="363">
        <v>0</v>
      </c>
      <c r="BL343" s="363">
        <v>0</v>
      </c>
      <c r="BM343" s="363">
        <v>0</v>
      </c>
      <c r="BN343" s="363">
        <v>0</v>
      </c>
      <c r="BO343" s="363">
        <v>0</v>
      </c>
      <c r="BP343" s="363">
        <v>0</v>
      </c>
      <c r="BQ343" s="363">
        <v>0</v>
      </c>
      <c r="BR343" s="363">
        <v>0</v>
      </c>
      <c r="BS343" s="363">
        <v>0</v>
      </c>
      <c r="BT343" s="363">
        <v>0</v>
      </c>
      <c r="BU343" s="363">
        <v>0</v>
      </c>
      <c r="BV343" s="363">
        <v>0</v>
      </c>
      <c r="BW343" s="363">
        <v>0</v>
      </c>
      <c r="BX343" s="363">
        <v>0</v>
      </c>
      <c r="BY343" s="363">
        <v>0</v>
      </c>
      <c r="BZ343" s="363">
        <v>0</v>
      </c>
      <c r="CA343" s="363">
        <v>0</v>
      </c>
      <c r="CB343" s="363">
        <v>0</v>
      </c>
      <c r="CC343" s="363">
        <v>0</v>
      </c>
      <c r="CD343" s="363">
        <v>0</v>
      </c>
      <c r="CE343" s="363">
        <v>0</v>
      </c>
      <c r="CF343" s="363">
        <v>0</v>
      </c>
      <c r="CG343" s="363">
        <v>0</v>
      </c>
      <c r="CH343" s="363">
        <v>0</v>
      </c>
      <c r="CI343" s="363">
        <v>0</v>
      </c>
      <c r="CJ343" s="363">
        <v>0</v>
      </c>
      <c r="CK343" s="363">
        <v>0</v>
      </c>
      <c r="CL343" s="363">
        <v>0</v>
      </c>
      <c r="CM343" s="363">
        <v>0</v>
      </c>
      <c r="CN343" s="363">
        <v>0</v>
      </c>
      <c r="CO343" s="363">
        <v>0</v>
      </c>
      <c r="CP343" s="363">
        <v>0</v>
      </c>
      <c r="CQ343" s="363">
        <v>0</v>
      </c>
      <c r="CR343" s="363">
        <v>0</v>
      </c>
      <c r="CS343" s="363">
        <v>0</v>
      </c>
      <c r="CT343" s="363">
        <v>0</v>
      </c>
      <c r="CU343" s="363">
        <v>0</v>
      </c>
      <c r="CV343" s="363">
        <v>0</v>
      </c>
      <c r="CW343" s="363">
        <v>0</v>
      </c>
      <c r="CX343" s="363">
        <v>0</v>
      </c>
      <c r="CY343" s="363">
        <v>0</v>
      </c>
      <c r="CZ343" s="363">
        <v>0</v>
      </c>
      <c r="DA343" s="363">
        <v>0</v>
      </c>
      <c r="DB343" s="363">
        <v>0</v>
      </c>
      <c r="DC343" s="363">
        <v>0</v>
      </c>
      <c r="DD343" s="363">
        <v>0</v>
      </c>
      <c r="DE343" s="363">
        <v>0</v>
      </c>
      <c r="DF343" s="363">
        <v>0</v>
      </c>
      <c r="DG343" s="363">
        <v>0</v>
      </c>
      <c r="DH343" s="363">
        <v>0</v>
      </c>
      <c r="DI343" s="363">
        <v>0</v>
      </c>
      <c r="DJ343" s="363">
        <v>0</v>
      </c>
      <c r="DK343" s="363">
        <v>0</v>
      </c>
      <c r="DL343" s="363">
        <v>0</v>
      </c>
      <c r="DM343" s="363">
        <v>0</v>
      </c>
      <c r="DN343" s="363">
        <v>0</v>
      </c>
      <c r="DO343" s="363">
        <v>0</v>
      </c>
      <c r="DP343" s="363">
        <v>0</v>
      </c>
      <c r="DQ343" s="363">
        <v>0</v>
      </c>
      <c r="DR343" s="383">
        <v>0</v>
      </c>
      <c r="DS343" s="383">
        <v>0</v>
      </c>
      <c r="DT343" s="383">
        <v>0</v>
      </c>
      <c r="DU343" s="383">
        <v>0</v>
      </c>
      <c r="DV343" s="383">
        <v>0</v>
      </c>
      <c r="DW343" s="543">
        <f t="shared" si="38"/>
        <v>0</v>
      </c>
      <c r="DX343" s="858">
        <f>DW343+DW344+DW345</f>
        <v>0</v>
      </c>
      <c r="DY343" s="704">
        <f>+DX343*1000000</f>
        <v>0</v>
      </c>
      <c r="DZ343" s="870">
        <f>+DY343-D343</f>
        <v>0</v>
      </c>
      <c r="EA343" s="873" t="str">
        <f>VLOOKUP(POA!$B343,INTERPLAN,28,0)</f>
        <v>N/A</v>
      </c>
      <c r="EB343" s="859" t="e">
        <f>+EDATE(EA343,C343)</f>
        <v>#VALUE!</v>
      </c>
      <c r="EC343" s="859" t="e">
        <f>EB343+30</f>
        <v>#VALUE!</v>
      </c>
      <c r="ED343" s="859" t="e">
        <f>CONCATENATE(MONTH(EA343),"-",YEAR(EA343))</f>
        <v>#VALUE!</v>
      </c>
      <c r="EE343" s="859" t="e">
        <f>CONCATENATE(MONTH(EB343),"-",YEAR(EB343))</f>
        <v>#VALUE!</v>
      </c>
      <c r="EF343" s="861" t="e">
        <f>CONCATENATE(MONTH(EC343),"-",YEAR(EC343))</f>
        <v>#VALUE!</v>
      </c>
      <c r="EG343" s="1105"/>
      <c r="EI343" s="858">
        <f>+DW343+DW344+DW345</f>
        <v>0</v>
      </c>
      <c r="EJ343" s="877">
        <f>+D343/1000000-EI343</f>
        <v>0</v>
      </c>
      <c r="ER343" s="497"/>
    </row>
    <row r="344" spans="1:148" s="278" customFormat="1" outlineLevel="2" x14ac:dyDescent="0.2">
      <c r="A344" s="929"/>
      <c r="B344" s="886"/>
      <c r="C344" s="903"/>
      <c r="D344" s="864"/>
      <c r="E344" s="867"/>
      <c r="F344" s="311" t="s">
        <v>210</v>
      </c>
      <c r="G344" s="363">
        <v>0</v>
      </c>
      <c r="H344" s="363">
        <v>0</v>
      </c>
      <c r="I344" s="363">
        <v>0</v>
      </c>
      <c r="J344" s="363">
        <v>0</v>
      </c>
      <c r="K344" s="363">
        <v>0</v>
      </c>
      <c r="L344" s="363">
        <v>0</v>
      </c>
      <c r="M344" s="363">
        <v>0</v>
      </c>
      <c r="N344" s="363">
        <v>0</v>
      </c>
      <c r="O344" s="363">
        <v>0</v>
      </c>
      <c r="P344" s="363">
        <v>0</v>
      </c>
      <c r="Q344" s="363">
        <v>0</v>
      </c>
      <c r="R344" s="363">
        <v>0</v>
      </c>
      <c r="S344" s="363">
        <v>0</v>
      </c>
      <c r="T344" s="363">
        <v>0</v>
      </c>
      <c r="U344" s="363">
        <v>0</v>
      </c>
      <c r="V344" s="363">
        <v>0</v>
      </c>
      <c r="W344" s="363">
        <v>0</v>
      </c>
      <c r="X344" s="363">
        <v>0</v>
      </c>
      <c r="Y344" s="363">
        <v>0</v>
      </c>
      <c r="Z344" s="363">
        <v>0</v>
      </c>
      <c r="AA344" s="363">
        <v>0</v>
      </c>
      <c r="AB344" s="363">
        <v>0</v>
      </c>
      <c r="AC344" s="363">
        <v>0</v>
      </c>
      <c r="AD344" s="363">
        <v>0</v>
      </c>
      <c r="AE344" s="363">
        <v>0</v>
      </c>
      <c r="AF344" s="363">
        <v>0</v>
      </c>
      <c r="AG344" s="363">
        <v>0</v>
      </c>
      <c r="AH344" s="363">
        <v>0</v>
      </c>
      <c r="AI344" s="363">
        <v>0</v>
      </c>
      <c r="AJ344" s="363">
        <v>0</v>
      </c>
      <c r="AK344" s="363">
        <v>0</v>
      </c>
      <c r="AL344" s="363">
        <v>0</v>
      </c>
      <c r="AM344" s="363">
        <v>0</v>
      </c>
      <c r="AN344" s="363">
        <v>0</v>
      </c>
      <c r="AO344" s="363">
        <v>0</v>
      </c>
      <c r="AP344" s="363">
        <v>0</v>
      </c>
      <c r="AQ344" s="363">
        <v>0</v>
      </c>
      <c r="AR344" s="363">
        <v>0</v>
      </c>
      <c r="AS344" s="363">
        <v>0</v>
      </c>
      <c r="AT344" s="363">
        <v>0</v>
      </c>
      <c r="AU344" s="363">
        <v>0</v>
      </c>
      <c r="AV344" s="363">
        <v>0</v>
      </c>
      <c r="AW344" s="363">
        <v>0</v>
      </c>
      <c r="AX344" s="363">
        <v>0</v>
      </c>
      <c r="AY344" s="363">
        <v>0</v>
      </c>
      <c r="AZ344" s="363">
        <v>0</v>
      </c>
      <c r="BA344" s="363">
        <v>0</v>
      </c>
      <c r="BB344" s="363">
        <v>0</v>
      </c>
      <c r="BC344" s="363">
        <v>0</v>
      </c>
      <c r="BD344" s="363">
        <v>0</v>
      </c>
      <c r="BE344" s="363">
        <v>0</v>
      </c>
      <c r="BF344" s="363">
        <v>0</v>
      </c>
      <c r="BG344" s="363">
        <v>0</v>
      </c>
      <c r="BH344" s="363">
        <v>0</v>
      </c>
      <c r="BI344" s="363">
        <v>0</v>
      </c>
      <c r="BJ344" s="363">
        <v>0</v>
      </c>
      <c r="BK344" s="363">
        <v>0</v>
      </c>
      <c r="BL344" s="363">
        <v>0</v>
      </c>
      <c r="BM344" s="363">
        <v>0</v>
      </c>
      <c r="BN344" s="363">
        <v>0</v>
      </c>
      <c r="BO344" s="363">
        <v>0</v>
      </c>
      <c r="BP344" s="363">
        <v>0</v>
      </c>
      <c r="BQ344" s="363">
        <v>0</v>
      </c>
      <c r="BR344" s="363">
        <v>0</v>
      </c>
      <c r="BS344" s="363">
        <v>0</v>
      </c>
      <c r="BT344" s="363">
        <v>0</v>
      </c>
      <c r="BU344" s="363">
        <v>0</v>
      </c>
      <c r="BV344" s="363">
        <v>0</v>
      </c>
      <c r="BW344" s="363">
        <v>0</v>
      </c>
      <c r="BX344" s="363">
        <v>0</v>
      </c>
      <c r="BY344" s="363">
        <v>0</v>
      </c>
      <c r="BZ344" s="363">
        <v>0</v>
      </c>
      <c r="CA344" s="363">
        <v>0</v>
      </c>
      <c r="CB344" s="363">
        <v>0</v>
      </c>
      <c r="CC344" s="363">
        <v>0</v>
      </c>
      <c r="CD344" s="363">
        <v>0</v>
      </c>
      <c r="CE344" s="363">
        <v>0</v>
      </c>
      <c r="CF344" s="363">
        <v>0</v>
      </c>
      <c r="CG344" s="363">
        <v>0</v>
      </c>
      <c r="CH344" s="363">
        <v>0</v>
      </c>
      <c r="CI344" s="363">
        <v>0</v>
      </c>
      <c r="CJ344" s="363">
        <v>0</v>
      </c>
      <c r="CK344" s="363">
        <v>0</v>
      </c>
      <c r="CL344" s="363">
        <v>0</v>
      </c>
      <c r="CM344" s="363">
        <v>0</v>
      </c>
      <c r="CN344" s="363">
        <v>0</v>
      </c>
      <c r="CO344" s="363">
        <v>0</v>
      </c>
      <c r="CP344" s="363">
        <v>0</v>
      </c>
      <c r="CQ344" s="363">
        <v>0</v>
      </c>
      <c r="CR344" s="363">
        <v>0</v>
      </c>
      <c r="CS344" s="363">
        <v>0</v>
      </c>
      <c r="CT344" s="363">
        <v>0</v>
      </c>
      <c r="CU344" s="363">
        <v>0</v>
      </c>
      <c r="CV344" s="363">
        <v>0</v>
      </c>
      <c r="CW344" s="363">
        <v>0</v>
      </c>
      <c r="CX344" s="363">
        <v>0</v>
      </c>
      <c r="CY344" s="363">
        <v>0</v>
      </c>
      <c r="CZ344" s="363">
        <v>0</v>
      </c>
      <c r="DA344" s="363">
        <v>0</v>
      </c>
      <c r="DB344" s="363">
        <v>0</v>
      </c>
      <c r="DC344" s="363">
        <v>0</v>
      </c>
      <c r="DD344" s="363">
        <v>0</v>
      </c>
      <c r="DE344" s="363">
        <v>0</v>
      </c>
      <c r="DF344" s="363">
        <v>0</v>
      </c>
      <c r="DG344" s="363">
        <v>0</v>
      </c>
      <c r="DH344" s="363">
        <v>0</v>
      </c>
      <c r="DI344" s="363">
        <v>0</v>
      </c>
      <c r="DJ344" s="363">
        <v>0</v>
      </c>
      <c r="DK344" s="363">
        <v>0</v>
      </c>
      <c r="DL344" s="363">
        <v>0</v>
      </c>
      <c r="DM344" s="363">
        <v>0</v>
      </c>
      <c r="DN344" s="363">
        <v>0</v>
      </c>
      <c r="DO344" s="363">
        <v>0</v>
      </c>
      <c r="DP344" s="363">
        <v>0</v>
      </c>
      <c r="DQ344" s="363">
        <v>0</v>
      </c>
      <c r="DR344" s="363">
        <v>0</v>
      </c>
      <c r="DS344" s="363">
        <v>0</v>
      </c>
      <c r="DT344" s="363">
        <v>0</v>
      </c>
      <c r="DU344" s="363">
        <v>0</v>
      </c>
      <c r="DV344" s="363">
        <v>0</v>
      </c>
      <c r="DW344" s="544">
        <f t="shared" si="38"/>
        <v>0</v>
      </c>
      <c r="DX344" s="858"/>
      <c r="DY344" s="705"/>
      <c r="DZ344" s="871"/>
      <c r="EA344" s="873"/>
      <c r="EB344" s="859"/>
      <c r="EC344" s="859"/>
      <c r="ED344" s="859"/>
      <c r="EE344" s="859"/>
      <c r="EF344" s="861"/>
      <c r="EG344" s="1106"/>
      <c r="EI344" s="858"/>
      <c r="EJ344" s="877"/>
      <c r="ER344" s="497"/>
    </row>
    <row r="345" spans="1:148" s="278" customFormat="1" ht="12.75" outlineLevel="2" thickBot="1" x14ac:dyDescent="0.25">
      <c r="A345" s="1072"/>
      <c r="B345" s="908"/>
      <c r="C345" s="909"/>
      <c r="D345" s="865"/>
      <c r="E345" s="875"/>
      <c r="F345" s="313" t="s">
        <v>211</v>
      </c>
      <c r="G345" s="387">
        <v>0</v>
      </c>
      <c r="H345" s="387">
        <v>0</v>
      </c>
      <c r="I345" s="387">
        <v>0</v>
      </c>
      <c r="J345" s="387">
        <v>0</v>
      </c>
      <c r="K345" s="387">
        <v>0</v>
      </c>
      <c r="L345" s="387">
        <v>0</v>
      </c>
      <c r="M345" s="387">
        <v>0</v>
      </c>
      <c r="N345" s="387">
        <v>0</v>
      </c>
      <c r="O345" s="387">
        <v>0</v>
      </c>
      <c r="P345" s="387">
        <v>0</v>
      </c>
      <c r="Q345" s="387">
        <v>0</v>
      </c>
      <c r="R345" s="387">
        <v>0</v>
      </c>
      <c r="S345" s="387">
        <v>0</v>
      </c>
      <c r="T345" s="387">
        <v>0</v>
      </c>
      <c r="U345" s="387">
        <v>0</v>
      </c>
      <c r="V345" s="387">
        <v>0</v>
      </c>
      <c r="W345" s="387">
        <v>0</v>
      </c>
      <c r="X345" s="387">
        <v>0</v>
      </c>
      <c r="Y345" s="387">
        <v>0</v>
      </c>
      <c r="Z345" s="387">
        <v>0</v>
      </c>
      <c r="AA345" s="387">
        <v>0</v>
      </c>
      <c r="AB345" s="387">
        <v>0</v>
      </c>
      <c r="AC345" s="387">
        <v>0</v>
      </c>
      <c r="AD345" s="387">
        <v>0</v>
      </c>
      <c r="AE345" s="387">
        <v>0</v>
      </c>
      <c r="AF345" s="387">
        <v>0</v>
      </c>
      <c r="AG345" s="387">
        <v>0</v>
      </c>
      <c r="AH345" s="387">
        <v>0</v>
      </c>
      <c r="AI345" s="387">
        <v>0</v>
      </c>
      <c r="AJ345" s="387">
        <v>0</v>
      </c>
      <c r="AK345" s="387">
        <v>0</v>
      </c>
      <c r="AL345" s="387">
        <v>0</v>
      </c>
      <c r="AM345" s="387">
        <v>0</v>
      </c>
      <c r="AN345" s="387">
        <v>0</v>
      </c>
      <c r="AO345" s="387">
        <v>0</v>
      </c>
      <c r="AP345" s="387">
        <v>0</v>
      </c>
      <c r="AQ345" s="387">
        <v>0</v>
      </c>
      <c r="AR345" s="387">
        <v>0</v>
      </c>
      <c r="AS345" s="387">
        <v>0</v>
      </c>
      <c r="AT345" s="387">
        <v>0</v>
      </c>
      <c r="AU345" s="387">
        <v>0</v>
      </c>
      <c r="AV345" s="387">
        <v>0</v>
      </c>
      <c r="AW345" s="387">
        <v>0</v>
      </c>
      <c r="AX345" s="387">
        <v>0</v>
      </c>
      <c r="AY345" s="387">
        <v>0</v>
      </c>
      <c r="AZ345" s="387">
        <v>0</v>
      </c>
      <c r="BA345" s="387">
        <v>0</v>
      </c>
      <c r="BB345" s="387">
        <v>0</v>
      </c>
      <c r="BC345" s="363">
        <v>0</v>
      </c>
      <c r="BD345" s="363">
        <v>0</v>
      </c>
      <c r="BE345" s="363">
        <v>0</v>
      </c>
      <c r="BF345" s="363">
        <v>0</v>
      </c>
      <c r="BG345" s="363">
        <v>0</v>
      </c>
      <c r="BH345" s="363">
        <v>0</v>
      </c>
      <c r="BI345" s="363">
        <v>0</v>
      </c>
      <c r="BJ345" s="363">
        <v>0</v>
      </c>
      <c r="BK345" s="363">
        <v>0</v>
      </c>
      <c r="BL345" s="363">
        <v>0</v>
      </c>
      <c r="BM345" s="363">
        <v>0</v>
      </c>
      <c r="BN345" s="363">
        <v>0</v>
      </c>
      <c r="BO345" s="363">
        <v>0</v>
      </c>
      <c r="BP345" s="363">
        <v>0</v>
      </c>
      <c r="BQ345" s="363">
        <v>0</v>
      </c>
      <c r="BR345" s="363">
        <v>0</v>
      </c>
      <c r="BS345" s="363">
        <v>0</v>
      </c>
      <c r="BT345" s="363">
        <v>0</v>
      </c>
      <c r="BU345" s="363">
        <v>0</v>
      </c>
      <c r="BV345" s="363">
        <v>0</v>
      </c>
      <c r="BW345" s="363">
        <v>0</v>
      </c>
      <c r="BX345" s="363">
        <v>0</v>
      </c>
      <c r="BY345" s="363">
        <v>0</v>
      </c>
      <c r="BZ345" s="363">
        <v>0</v>
      </c>
      <c r="CA345" s="363">
        <v>0</v>
      </c>
      <c r="CB345" s="363">
        <v>0</v>
      </c>
      <c r="CC345" s="363">
        <v>0</v>
      </c>
      <c r="CD345" s="363">
        <v>0</v>
      </c>
      <c r="CE345" s="363">
        <v>0</v>
      </c>
      <c r="CF345" s="363">
        <v>0</v>
      </c>
      <c r="CG345" s="363">
        <v>0</v>
      </c>
      <c r="CH345" s="363">
        <v>0</v>
      </c>
      <c r="CI345" s="363">
        <v>0</v>
      </c>
      <c r="CJ345" s="363">
        <v>0</v>
      </c>
      <c r="CK345" s="363">
        <v>0</v>
      </c>
      <c r="CL345" s="363">
        <v>0</v>
      </c>
      <c r="CM345" s="363">
        <v>0</v>
      </c>
      <c r="CN345" s="363">
        <v>0</v>
      </c>
      <c r="CO345" s="363">
        <v>0</v>
      </c>
      <c r="CP345" s="363">
        <v>0</v>
      </c>
      <c r="CQ345" s="363">
        <v>0</v>
      </c>
      <c r="CR345" s="363">
        <v>0</v>
      </c>
      <c r="CS345" s="363">
        <v>0</v>
      </c>
      <c r="CT345" s="363">
        <v>0</v>
      </c>
      <c r="CU345" s="363">
        <v>0</v>
      </c>
      <c r="CV345" s="363">
        <v>0</v>
      </c>
      <c r="CW345" s="363">
        <v>0</v>
      </c>
      <c r="CX345" s="363">
        <v>0</v>
      </c>
      <c r="CY345" s="363">
        <v>0</v>
      </c>
      <c r="CZ345" s="363">
        <v>0</v>
      </c>
      <c r="DA345" s="363">
        <v>0</v>
      </c>
      <c r="DB345" s="363">
        <v>0</v>
      </c>
      <c r="DC345" s="363">
        <v>0</v>
      </c>
      <c r="DD345" s="363">
        <v>0</v>
      </c>
      <c r="DE345" s="363">
        <v>0</v>
      </c>
      <c r="DF345" s="363">
        <v>0</v>
      </c>
      <c r="DG345" s="363">
        <v>0</v>
      </c>
      <c r="DH345" s="363">
        <v>0</v>
      </c>
      <c r="DI345" s="363">
        <v>0</v>
      </c>
      <c r="DJ345" s="363">
        <v>0</v>
      </c>
      <c r="DK345" s="363">
        <v>0</v>
      </c>
      <c r="DL345" s="363">
        <v>0</v>
      </c>
      <c r="DM345" s="363">
        <v>0</v>
      </c>
      <c r="DN345" s="363">
        <v>0</v>
      </c>
      <c r="DO345" s="363">
        <v>0</v>
      </c>
      <c r="DP345" s="363">
        <v>0</v>
      </c>
      <c r="DQ345" s="363">
        <v>0</v>
      </c>
      <c r="DR345" s="387">
        <v>0</v>
      </c>
      <c r="DS345" s="387">
        <v>0</v>
      </c>
      <c r="DT345" s="387">
        <v>0</v>
      </c>
      <c r="DU345" s="387">
        <v>0</v>
      </c>
      <c r="DV345" s="387">
        <v>0</v>
      </c>
      <c r="DW345" s="545">
        <f t="shared" si="38"/>
        <v>0</v>
      </c>
      <c r="DX345" s="858"/>
      <c r="DY345" s="706"/>
      <c r="DZ345" s="872"/>
      <c r="EA345" s="873"/>
      <c r="EB345" s="859"/>
      <c r="EC345" s="859"/>
      <c r="ED345" s="859"/>
      <c r="EE345" s="859"/>
      <c r="EF345" s="861"/>
      <c r="EG345" s="1107"/>
      <c r="EI345" s="858"/>
      <c r="EJ345" s="877"/>
      <c r="ER345" s="497"/>
    </row>
    <row r="346" spans="1:148" s="278" customFormat="1" ht="24" outlineLevel="2" x14ac:dyDescent="0.2">
      <c r="A346" s="1074"/>
      <c r="B346" s="885" t="s">
        <v>174</v>
      </c>
      <c r="C346" s="911">
        <v>3</v>
      </c>
      <c r="D346" s="863">
        <f>+IFERROR(VLOOKUP(B346,'Detalle Plan de Adquisiciones'!$G$95:$L$153,6,FALSE),0)</f>
        <v>0</v>
      </c>
      <c r="E346" s="889" t="str">
        <f>+'Detalle Plan de Adquisiciones'!F144</f>
        <v>INTERVENTORÍA TÉCNICA, ADMINISTRATIVA, FINANCIERA Y AMBIENTAL AL CONTRATO CUYO OBJETO ES: PTN EN LA DIAGONAL 2E ENTRE TRANSVERSAL 9 Y EL CEMENTERIO DEL P5.</v>
      </c>
      <c r="F346" s="312" t="s">
        <v>410</v>
      </c>
      <c r="G346" s="383">
        <v>0</v>
      </c>
      <c r="H346" s="383">
        <v>0</v>
      </c>
      <c r="I346" s="383">
        <v>0</v>
      </c>
      <c r="J346" s="383">
        <v>0</v>
      </c>
      <c r="K346" s="383">
        <v>0</v>
      </c>
      <c r="L346" s="383">
        <v>0</v>
      </c>
      <c r="M346" s="383">
        <v>0</v>
      </c>
      <c r="N346" s="383">
        <v>0</v>
      </c>
      <c r="O346" s="383">
        <v>0</v>
      </c>
      <c r="P346" s="383">
        <v>0</v>
      </c>
      <c r="Q346" s="383">
        <v>0</v>
      </c>
      <c r="R346" s="383">
        <v>0</v>
      </c>
      <c r="S346" s="383">
        <v>0</v>
      </c>
      <c r="T346" s="383">
        <v>0</v>
      </c>
      <c r="U346" s="383">
        <v>0</v>
      </c>
      <c r="V346" s="383">
        <v>0</v>
      </c>
      <c r="W346" s="383">
        <v>0</v>
      </c>
      <c r="X346" s="383">
        <v>0</v>
      </c>
      <c r="Y346" s="383">
        <v>0</v>
      </c>
      <c r="Z346" s="383">
        <v>0</v>
      </c>
      <c r="AA346" s="383">
        <v>0</v>
      </c>
      <c r="AB346" s="383">
        <v>0</v>
      </c>
      <c r="AC346" s="383">
        <v>0</v>
      </c>
      <c r="AD346" s="383">
        <v>0</v>
      </c>
      <c r="AE346" s="383">
        <v>0</v>
      </c>
      <c r="AF346" s="383">
        <v>0</v>
      </c>
      <c r="AG346" s="383">
        <v>0</v>
      </c>
      <c r="AH346" s="383">
        <v>0</v>
      </c>
      <c r="AI346" s="383">
        <v>0</v>
      </c>
      <c r="AJ346" s="383">
        <v>0</v>
      </c>
      <c r="AK346" s="383">
        <v>0</v>
      </c>
      <c r="AL346" s="383">
        <v>0</v>
      </c>
      <c r="AM346" s="383">
        <v>0</v>
      </c>
      <c r="AN346" s="383">
        <v>0</v>
      </c>
      <c r="AO346" s="383">
        <v>0</v>
      </c>
      <c r="AP346" s="383">
        <v>0</v>
      </c>
      <c r="AQ346" s="383">
        <v>0</v>
      </c>
      <c r="AR346" s="383">
        <v>0</v>
      </c>
      <c r="AS346" s="383">
        <v>0</v>
      </c>
      <c r="AT346" s="383">
        <v>0</v>
      </c>
      <c r="AU346" s="383">
        <v>0</v>
      </c>
      <c r="AV346" s="383">
        <v>0</v>
      </c>
      <c r="AW346" s="383">
        <v>0</v>
      </c>
      <c r="AX346" s="383">
        <v>0</v>
      </c>
      <c r="AY346" s="383">
        <v>0</v>
      </c>
      <c r="AZ346" s="383">
        <v>0</v>
      </c>
      <c r="BA346" s="383">
        <v>0</v>
      </c>
      <c r="BB346" s="383">
        <v>0</v>
      </c>
      <c r="BC346" s="363">
        <v>0</v>
      </c>
      <c r="BD346" s="363">
        <v>0</v>
      </c>
      <c r="BE346" s="363">
        <v>0</v>
      </c>
      <c r="BF346" s="363">
        <v>0</v>
      </c>
      <c r="BG346" s="363">
        <v>0</v>
      </c>
      <c r="BH346" s="363">
        <v>0</v>
      </c>
      <c r="BI346" s="363">
        <v>0</v>
      </c>
      <c r="BJ346" s="363">
        <v>0</v>
      </c>
      <c r="BK346" s="363">
        <v>0</v>
      </c>
      <c r="BL346" s="363">
        <v>0</v>
      </c>
      <c r="BM346" s="363">
        <v>0</v>
      </c>
      <c r="BN346" s="363">
        <v>0</v>
      </c>
      <c r="BO346" s="363">
        <v>0</v>
      </c>
      <c r="BP346" s="363">
        <v>0</v>
      </c>
      <c r="BQ346" s="363">
        <v>0</v>
      </c>
      <c r="BR346" s="363">
        <v>0</v>
      </c>
      <c r="BS346" s="363">
        <v>0</v>
      </c>
      <c r="BT346" s="363">
        <v>0</v>
      </c>
      <c r="BU346" s="363">
        <v>0</v>
      </c>
      <c r="BV346" s="363">
        <v>0</v>
      </c>
      <c r="BW346" s="363">
        <v>0</v>
      </c>
      <c r="BX346" s="363">
        <v>0</v>
      </c>
      <c r="BY346" s="363">
        <v>0</v>
      </c>
      <c r="BZ346" s="363">
        <v>0</v>
      </c>
      <c r="CA346" s="363">
        <v>0</v>
      </c>
      <c r="CB346" s="363">
        <v>0</v>
      </c>
      <c r="CC346" s="363">
        <v>0</v>
      </c>
      <c r="CD346" s="363">
        <v>0</v>
      </c>
      <c r="CE346" s="363">
        <v>0</v>
      </c>
      <c r="CF346" s="363">
        <v>0</v>
      </c>
      <c r="CG346" s="363">
        <v>0</v>
      </c>
      <c r="CH346" s="363">
        <v>0</v>
      </c>
      <c r="CI346" s="363">
        <v>0</v>
      </c>
      <c r="CJ346" s="363">
        <v>0</v>
      </c>
      <c r="CK346" s="363">
        <v>0</v>
      </c>
      <c r="CL346" s="363">
        <v>0</v>
      </c>
      <c r="CM346" s="363">
        <v>0</v>
      </c>
      <c r="CN346" s="363">
        <v>0</v>
      </c>
      <c r="CO346" s="363">
        <v>0</v>
      </c>
      <c r="CP346" s="363">
        <v>0</v>
      </c>
      <c r="CQ346" s="363">
        <v>0</v>
      </c>
      <c r="CR346" s="363">
        <v>0</v>
      </c>
      <c r="CS346" s="363">
        <v>0</v>
      </c>
      <c r="CT346" s="363">
        <v>0</v>
      </c>
      <c r="CU346" s="363">
        <v>0</v>
      </c>
      <c r="CV346" s="363">
        <v>0</v>
      </c>
      <c r="CW346" s="363">
        <v>0</v>
      </c>
      <c r="CX346" s="363">
        <v>0</v>
      </c>
      <c r="CY346" s="363">
        <v>0</v>
      </c>
      <c r="CZ346" s="363">
        <v>0</v>
      </c>
      <c r="DA346" s="363">
        <v>0</v>
      </c>
      <c r="DB346" s="363">
        <v>0</v>
      </c>
      <c r="DC346" s="363">
        <v>0</v>
      </c>
      <c r="DD346" s="363">
        <v>0</v>
      </c>
      <c r="DE346" s="363">
        <v>0</v>
      </c>
      <c r="DF346" s="363">
        <v>0</v>
      </c>
      <c r="DG346" s="363">
        <v>0</v>
      </c>
      <c r="DH346" s="363">
        <v>0</v>
      </c>
      <c r="DI346" s="363">
        <v>0</v>
      </c>
      <c r="DJ346" s="363">
        <v>0</v>
      </c>
      <c r="DK346" s="363">
        <v>0</v>
      </c>
      <c r="DL346" s="363">
        <v>0</v>
      </c>
      <c r="DM346" s="363">
        <v>0</v>
      </c>
      <c r="DN346" s="363">
        <v>0</v>
      </c>
      <c r="DO346" s="363">
        <v>0</v>
      </c>
      <c r="DP346" s="363">
        <v>0</v>
      </c>
      <c r="DQ346" s="363">
        <v>0</v>
      </c>
      <c r="DR346" s="383">
        <v>0</v>
      </c>
      <c r="DS346" s="383">
        <v>0</v>
      </c>
      <c r="DT346" s="383">
        <v>0</v>
      </c>
      <c r="DU346" s="383">
        <v>0</v>
      </c>
      <c r="DV346" s="383">
        <v>0</v>
      </c>
      <c r="DW346" s="543">
        <f t="shared" si="38"/>
        <v>0</v>
      </c>
      <c r="DX346" s="858">
        <f>DW346+DW347+DW348</f>
        <v>0</v>
      </c>
      <c r="DY346" s="704">
        <f>+DX346*1000000</f>
        <v>0</v>
      </c>
      <c r="DZ346" s="870">
        <f>+DY346-D346</f>
        <v>0</v>
      </c>
      <c r="EA346" s="873" t="str">
        <f>VLOOKUP(POA!$B346,INTERPLAN,28,0)</f>
        <v>N/A</v>
      </c>
      <c r="EB346" s="859" t="e">
        <f>+EDATE(EA346,C346)</f>
        <v>#VALUE!</v>
      </c>
      <c r="EC346" s="859" t="e">
        <f>EB346+30</f>
        <v>#VALUE!</v>
      </c>
      <c r="ED346" s="859" t="e">
        <f>CONCATENATE(MONTH(EA346),"-",YEAR(EA346))</f>
        <v>#VALUE!</v>
      </c>
      <c r="EE346" s="859" t="e">
        <f>CONCATENATE(MONTH(EB346),"-",YEAR(EB346))</f>
        <v>#VALUE!</v>
      </c>
      <c r="EF346" s="861" t="e">
        <f>CONCATENATE(MONTH(EC346),"-",YEAR(EC346))</f>
        <v>#VALUE!</v>
      </c>
      <c r="EG346" s="1105"/>
      <c r="EI346" s="858">
        <f>+DW346+DW347+DW348</f>
        <v>0</v>
      </c>
      <c r="EJ346" s="877">
        <f>+D346/1000000-EI346</f>
        <v>0</v>
      </c>
      <c r="ER346" s="497"/>
    </row>
    <row r="347" spans="1:148" s="278" customFormat="1" outlineLevel="2" x14ac:dyDescent="0.2">
      <c r="A347" s="929"/>
      <c r="B347" s="886"/>
      <c r="C347" s="903"/>
      <c r="D347" s="864"/>
      <c r="E347" s="867"/>
      <c r="F347" s="311" t="s">
        <v>210</v>
      </c>
      <c r="G347" s="363">
        <v>0</v>
      </c>
      <c r="H347" s="363">
        <v>0</v>
      </c>
      <c r="I347" s="363">
        <v>0</v>
      </c>
      <c r="J347" s="363">
        <v>0</v>
      </c>
      <c r="K347" s="363">
        <v>0</v>
      </c>
      <c r="L347" s="363">
        <v>0</v>
      </c>
      <c r="M347" s="363">
        <v>0</v>
      </c>
      <c r="N347" s="363">
        <v>0</v>
      </c>
      <c r="O347" s="363">
        <v>0</v>
      </c>
      <c r="P347" s="363">
        <v>0</v>
      </c>
      <c r="Q347" s="363">
        <v>0</v>
      </c>
      <c r="R347" s="363">
        <v>0</v>
      </c>
      <c r="S347" s="363">
        <v>0</v>
      </c>
      <c r="T347" s="363">
        <v>0</v>
      </c>
      <c r="U347" s="363">
        <v>0</v>
      </c>
      <c r="V347" s="363">
        <v>0</v>
      </c>
      <c r="W347" s="363">
        <v>0</v>
      </c>
      <c r="X347" s="363">
        <v>0</v>
      </c>
      <c r="Y347" s="363">
        <v>0</v>
      </c>
      <c r="Z347" s="363">
        <v>0</v>
      </c>
      <c r="AA347" s="363">
        <v>0</v>
      </c>
      <c r="AB347" s="363">
        <v>0</v>
      </c>
      <c r="AC347" s="363">
        <v>0</v>
      </c>
      <c r="AD347" s="363">
        <v>0</v>
      </c>
      <c r="AE347" s="363">
        <v>0</v>
      </c>
      <c r="AF347" s="363">
        <v>0</v>
      </c>
      <c r="AG347" s="363">
        <v>0</v>
      </c>
      <c r="AH347" s="363">
        <v>0</v>
      </c>
      <c r="AI347" s="363">
        <v>0</v>
      </c>
      <c r="AJ347" s="363">
        <v>0</v>
      </c>
      <c r="AK347" s="363">
        <v>0</v>
      </c>
      <c r="AL347" s="363">
        <v>0</v>
      </c>
      <c r="AM347" s="363">
        <v>0</v>
      </c>
      <c r="AN347" s="363">
        <v>0</v>
      </c>
      <c r="AO347" s="363">
        <v>0</v>
      </c>
      <c r="AP347" s="363">
        <v>0</v>
      </c>
      <c r="AQ347" s="363">
        <v>0</v>
      </c>
      <c r="AR347" s="363">
        <v>0</v>
      </c>
      <c r="AS347" s="363">
        <v>0</v>
      </c>
      <c r="AT347" s="363">
        <v>0</v>
      </c>
      <c r="AU347" s="363">
        <v>0</v>
      </c>
      <c r="AV347" s="363">
        <v>0</v>
      </c>
      <c r="AW347" s="363">
        <v>0</v>
      </c>
      <c r="AX347" s="363">
        <v>0</v>
      </c>
      <c r="AY347" s="363">
        <v>0</v>
      </c>
      <c r="AZ347" s="363">
        <v>0</v>
      </c>
      <c r="BA347" s="363">
        <v>0</v>
      </c>
      <c r="BB347" s="363">
        <v>0</v>
      </c>
      <c r="BC347" s="363">
        <v>0</v>
      </c>
      <c r="BD347" s="363">
        <v>0</v>
      </c>
      <c r="BE347" s="363">
        <v>0</v>
      </c>
      <c r="BF347" s="363">
        <v>0</v>
      </c>
      <c r="BG347" s="363">
        <v>0</v>
      </c>
      <c r="BH347" s="363">
        <v>0</v>
      </c>
      <c r="BI347" s="363">
        <v>0</v>
      </c>
      <c r="BJ347" s="363">
        <v>0</v>
      </c>
      <c r="BK347" s="363">
        <v>0</v>
      </c>
      <c r="BL347" s="363">
        <v>0</v>
      </c>
      <c r="BM347" s="363">
        <v>0</v>
      </c>
      <c r="BN347" s="363">
        <v>0</v>
      </c>
      <c r="BO347" s="363">
        <v>0</v>
      </c>
      <c r="BP347" s="363">
        <v>0</v>
      </c>
      <c r="BQ347" s="363">
        <v>0</v>
      </c>
      <c r="BR347" s="363">
        <v>0</v>
      </c>
      <c r="BS347" s="363">
        <v>0</v>
      </c>
      <c r="BT347" s="363">
        <v>0</v>
      </c>
      <c r="BU347" s="363">
        <v>0</v>
      </c>
      <c r="BV347" s="363">
        <v>0</v>
      </c>
      <c r="BW347" s="363">
        <v>0</v>
      </c>
      <c r="BX347" s="363">
        <v>0</v>
      </c>
      <c r="BY347" s="363">
        <v>0</v>
      </c>
      <c r="BZ347" s="363">
        <v>0</v>
      </c>
      <c r="CA347" s="363">
        <v>0</v>
      </c>
      <c r="CB347" s="363">
        <v>0</v>
      </c>
      <c r="CC347" s="363">
        <v>0</v>
      </c>
      <c r="CD347" s="363">
        <v>0</v>
      </c>
      <c r="CE347" s="363">
        <v>0</v>
      </c>
      <c r="CF347" s="363">
        <v>0</v>
      </c>
      <c r="CG347" s="363">
        <v>0</v>
      </c>
      <c r="CH347" s="363">
        <v>0</v>
      </c>
      <c r="CI347" s="363">
        <v>0</v>
      </c>
      <c r="CJ347" s="363">
        <v>0</v>
      </c>
      <c r="CK347" s="363">
        <v>0</v>
      </c>
      <c r="CL347" s="363">
        <v>0</v>
      </c>
      <c r="CM347" s="363">
        <v>0</v>
      </c>
      <c r="CN347" s="363">
        <v>0</v>
      </c>
      <c r="CO347" s="363">
        <v>0</v>
      </c>
      <c r="CP347" s="363">
        <v>0</v>
      </c>
      <c r="CQ347" s="363">
        <v>0</v>
      </c>
      <c r="CR347" s="363">
        <v>0</v>
      </c>
      <c r="CS347" s="363">
        <v>0</v>
      </c>
      <c r="CT347" s="363">
        <v>0</v>
      </c>
      <c r="CU347" s="363">
        <v>0</v>
      </c>
      <c r="CV347" s="363">
        <v>0</v>
      </c>
      <c r="CW347" s="363">
        <v>0</v>
      </c>
      <c r="CX347" s="363">
        <v>0</v>
      </c>
      <c r="CY347" s="363">
        <v>0</v>
      </c>
      <c r="CZ347" s="363">
        <v>0</v>
      </c>
      <c r="DA347" s="363">
        <v>0</v>
      </c>
      <c r="DB347" s="363">
        <v>0</v>
      </c>
      <c r="DC347" s="363">
        <v>0</v>
      </c>
      <c r="DD347" s="363">
        <v>0</v>
      </c>
      <c r="DE347" s="363">
        <v>0</v>
      </c>
      <c r="DF347" s="363">
        <v>0</v>
      </c>
      <c r="DG347" s="363">
        <v>0</v>
      </c>
      <c r="DH347" s="363">
        <v>0</v>
      </c>
      <c r="DI347" s="363">
        <v>0</v>
      </c>
      <c r="DJ347" s="363">
        <v>0</v>
      </c>
      <c r="DK347" s="363">
        <v>0</v>
      </c>
      <c r="DL347" s="363">
        <v>0</v>
      </c>
      <c r="DM347" s="363">
        <v>0</v>
      </c>
      <c r="DN347" s="363">
        <v>0</v>
      </c>
      <c r="DO347" s="363">
        <v>0</v>
      </c>
      <c r="DP347" s="363">
        <v>0</v>
      </c>
      <c r="DQ347" s="363">
        <v>0</v>
      </c>
      <c r="DR347" s="363">
        <v>0</v>
      </c>
      <c r="DS347" s="363">
        <v>0</v>
      </c>
      <c r="DT347" s="363">
        <v>0</v>
      </c>
      <c r="DU347" s="363">
        <v>0</v>
      </c>
      <c r="DV347" s="363">
        <v>0</v>
      </c>
      <c r="DW347" s="544">
        <f t="shared" si="38"/>
        <v>0</v>
      </c>
      <c r="DX347" s="858"/>
      <c r="DY347" s="705"/>
      <c r="DZ347" s="871"/>
      <c r="EA347" s="873"/>
      <c r="EB347" s="859"/>
      <c r="EC347" s="859"/>
      <c r="ED347" s="859"/>
      <c r="EE347" s="859"/>
      <c r="EF347" s="861"/>
      <c r="EG347" s="1106"/>
      <c r="EI347" s="858"/>
      <c r="EJ347" s="877"/>
      <c r="ER347" s="497"/>
    </row>
    <row r="348" spans="1:148" s="278" customFormat="1" ht="12.75" outlineLevel="2" thickBot="1" x14ac:dyDescent="0.25">
      <c r="A348" s="1072"/>
      <c r="B348" s="908"/>
      <c r="C348" s="909"/>
      <c r="D348" s="865"/>
      <c r="E348" s="875"/>
      <c r="F348" s="313" t="s">
        <v>211</v>
      </c>
      <c r="G348" s="387">
        <v>0</v>
      </c>
      <c r="H348" s="387">
        <v>0</v>
      </c>
      <c r="I348" s="387">
        <v>0</v>
      </c>
      <c r="J348" s="387">
        <v>0</v>
      </c>
      <c r="K348" s="387">
        <v>0</v>
      </c>
      <c r="L348" s="387">
        <v>0</v>
      </c>
      <c r="M348" s="387">
        <v>0</v>
      </c>
      <c r="N348" s="387">
        <v>0</v>
      </c>
      <c r="O348" s="387">
        <v>0</v>
      </c>
      <c r="P348" s="387">
        <v>0</v>
      </c>
      <c r="Q348" s="387">
        <v>0</v>
      </c>
      <c r="R348" s="387">
        <v>0</v>
      </c>
      <c r="S348" s="387">
        <v>0</v>
      </c>
      <c r="T348" s="387">
        <v>0</v>
      </c>
      <c r="U348" s="387">
        <v>0</v>
      </c>
      <c r="V348" s="387">
        <v>0</v>
      </c>
      <c r="W348" s="387">
        <v>0</v>
      </c>
      <c r="X348" s="387">
        <v>0</v>
      </c>
      <c r="Y348" s="387">
        <v>0</v>
      </c>
      <c r="Z348" s="387">
        <v>0</v>
      </c>
      <c r="AA348" s="387">
        <v>0</v>
      </c>
      <c r="AB348" s="387">
        <v>0</v>
      </c>
      <c r="AC348" s="387">
        <v>0</v>
      </c>
      <c r="AD348" s="387">
        <v>0</v>
      </c>
      <c r="AE348" s="387">
        <v>0</v>
      </c>
      <c r="AF348" s="387">
        <v>0</v>
      </c>
      <c r="AG348" s="387">
        <v>0</v>
      </c>
      <c r="AH348" s="387">
        <v>0</v>
      </c>
      <c r="AI348" s="387">
        <v>0</v>
      </c>
      <c r="AJ348" s="387">
        <v>0</v>
      </c>
      <c r="AK348" s="387">
        <v>0</v>
      </c>
      <c r="AL348" s="387">
        <v>0</v>
      </c>
      <c r="AM348" s="387">
        <v>0</v>
      </c>
      <c r="AN348" s="387">
        <v>0</v>
      </c>
      <c r="AO348" s="387">
        <v>0</v>
      </c>
      <c r="AP348" s="387">
        <v>0</v>
      </c>
      <c r="AQ348" s="387">
        <v>0</v>
      </c>
      <c r="AR348" s="387">
        <v>0</v>
      </c>
      <c r="AS348" s="387">
        <v>0</v>
      </c>
      <c r="AT348" s="387">
        <v>0</v>
      </c>
      <c r="AU348" s="387">
        <v>0</v>
      </c>
      <c r="AV348" s="387">
        <v>0</v>
      </c>
      <c r="AW348" s="387">
        <v>0</v>
      </c>
      <c r="AX348" s="387">
        <v>0</v>
      </c>
      <c r="AY348" s="387">
        <v>0</v>
      </c>
      <c r="AZ348" s="387">
        <v>0</v>
      </c>
      <c r="BA348" s="387">
        <v>0</v>
      </c>
      <c r="BB348" s="387">
        <v>0</v>
      </c>
      <c r="BC348" s="363">
        <v>0</v>
      </c>
      <c r="BD348" s="363">
        <v>0</v>
      </c>
      <c r="BE348" s="363">
        <v>0</v>
      </c>
      <c r="BF348" s="363">
        <v>0</v>
      </c>
      <c r="BG348" s="363">
        <v>0</v>
      </c>
      <c r="BH348" s="363">
        <v>0</v>
      </c>
      <c r="BI348" s="363">
        <v>0</v>
      </c>
      <c r="BJ348" s="363">
        <v>0</v>
      </c>
      <c r="BK348" s="363">
        <v>0</v>
      </c>
      <c r="BL348" s="363">
        <v>0</v>
      </c>
      <c r="BM348" s="363">
        <v>0</v>
      </c>
      <c r="BN348" s="363">
        <v>0</v>
      </c>
      <c r="BO348" s="363">
        <v>0</v>
      </c>
      <c r="BP348" s="363">
        <v>0</v>
      </c>
      <c r="BQ348" s="363">
        <v>0</v>
      </c>
      <c r="BR348" s="363">
        <v>0</v>
      </c>
      <c r="BS348" s="363">
        <v>0</v>
      </c>
      <c r="BT348" s="363">
        <v>0</v>
      </c>
      <c r="BU348" s="363">
        <v>0</v>
      </c>
      <c r="BV348" s="363">
        <v>0</v>
      </c>
      <c r="BW348" s="363">
        <v>0</v>
      </c>
      <c r="BX348" s="363">
        <v>0</v>
      </c>
      <c r="BY348" s="363">
        <v>0</v>
      </c>
      <c r="BZ348" s="363">
        <v>0</v>
      </c>
      <c r="CA348" s="363">
        <v>0</v>
      </c>
      <c r="CB348" s="363">
        <v>0</v>
      </c>
      <c r="CC348" s="363">
        <v>0</v>
      </c>
      <c r="CD348" s="363">
        <v>0</v>
      </c>
      <c r="CE348" s="363">
        <v>0</v>
      </c>
      <c r="CF348" s="363">
        <v>0</v>
      </c>
      <c r="CG348" s="363">
        <v>0</v>
      </c>
      <c r="CH348" s="363">
        <v>0</v>
      </c>
      <c r="CI348" s="363">
        <v>0</v>
      </c>
      <c r="CJ348" s="363">
        <v>0</v>
      </c>
      <c r="CK348" s="363">
        <v>0</v>
      </c>
      <c r="CL348" s="363">
        <v>0</v>
      </c>
      <c r="CM348" s="363">
        <v>0</v>
      </c>
      <c r="CN348" s="363">
        <v>0</v>
      </c>
      <c r="CO348" s="363">
        <v>0</v>
      </c>
      <c r="CP348" s="363">
        <v>0</v>
      </c>
      <c r="CQ348" s="363">
        <v>0</v>
      </c>
      <c r="CR348" s="363">
        <v>0</v>
      </c>
      <c r="CS348" s="363">
        <v>0</v>
      </c>
      <c r="CT348" s="363">
        <v>0</v>
      </c>
      <c r="CU348" s="363">
        <v>0</v>
      </c>
      <c r="CV348" s="363">
        <v>0</v>
      </c>
      <c r="CW348" s="363">
        <v>0</v>
      </c>
      <c r="CX348" s="363">
        <v>0</v>
      </c>
      <c r="CY348" s="363">
        <v>0</v>
      </c>
      <c r="CZ348" s="363">
        <v>0</v>
      </c>
      <c r="DA348" s="363">
        <v>0</v>
      </c>
      <c r="DB348" s="363">
        <v>0</v>
      </c>
      <c r="DC348" s="363">
        <v>0</v>
      </c>
      <c r="DD348" s="363">
        <v>0</v>
      </c>
      <c r="DE348" s="363">
        <v>0</v>
      </c>
      <c r="DF348" s="363">
        <v>0</v>
      </c>
      <c r="DG348" s="363">
        <v>0</v>
      </c>
      <c r="DH348" s="363">
        <v>0</v>
      </c>
      <c r="DI348" s="363">
        <v>0</v>
      </c>
      <c r="DJ348" s="363">
        <v>0</v>
      </c>
      <c r="DK348" s="363">
        <v>0</v>
      </c>
      <c r="DL348" s="363">
        <v>0</v>
      </c>
      <c r="DM348" s="363">
        <v>0</v>
      </c>
      <c r="DN348" s="363">
        <v>0</v>
      </c>
      <c r="DO348" s="363">
        <v>0</v>
      </c>
      <c r="DP348" s="363">
        <v>0</v>
      </c>
      <c r="DQ348" s="363">
        <v>0</v>
      </c>
      <c r="DR348" s="387">
        <v>0</v>
      </c>
      <c r="DS348" s="387">
        <v>0</v>
      </c>
      <c r="DT348" s="387">
        <v>0</v>
      </c>
      <c r="DU348" s="387">
        <v>0</v>
      </c>
      <c r="DV348" s="387">
        <v>0</v>
      </c>
      <c r="DW348" s="545">
        <f t="shared" si="38"/>
        <v>0</v>
      </c>
      <c r="DX348" s="858"/>
      <c r="DY348" s="706"/>
      <c r="DZ348" s="872"/>
      <c r="EA348" s="873"/>
      <c r="EB348" s="859"/>
      <c r="EC348" s="859"/>
      <c r="ED348" s="859"/>
      <c r="EE348" s="859"/>
      <c r="EF348" s="861"/>
      <c r="EG348" s="1107"/>
      <c r="EI348" s="858"/>
      <c r="EJ348" s="877"/>
      <c r="ER348" s="497"/>
    </row>
    <row r="349" spans="1:148" s="278" customFormat="1" ht="24" outlineLevel="2" x14ac:dyDescent="0.2">
      <c r="A349" s="1074"/>
      <c r="B349" s="885" t="s">
        <v>175</v>
      </c>
      <c r="C349" s="911">
        <v>3</v>
      </c>
      <c r="D349" s="863">
        <f>+IFERROR(VLOOKUP(B349,'Detalle Plan de Adquisiciones'!$G$95:$L$153,6,FALSE),0)</f>
        <v>0</v>
      </c>
      <c r="E349" s="889" t="str">
        <f>+'Detalle Plan de Adquisiciones'!F145</f>
        <v>INTERVENTORÍA TÉCNICA, ADMINISTRATIVA, FINANCIERA Y AMBIENTAL AL CONTRATO CUYO OBJETO ES: PTN GALILEA</v>
      </c>
      <c r="F349" s="312" t="s">
        <v>410</v>
      </c>
      <c r="G349" s="383">
        <v>0</v>
      </c>
      <c r="H349" s="383">
        <v>0</v>
      </c>
      <c r="I349" s="383">
        <v>0</v>
      </c>
      <c r="J349" s="383">
        <v>0</v>
      </c>
      <c r="K349" s="383">
        <v>0</v>
      </c>
      <c r="L349" s="383">
        <v>0</v>
      </c>
      <c r="M349" s="383">
        <v>0</v>
      </c>
      <c r="N349" s="383">
        <v>0</v>
      </c>
      <c r="O349" s="383">
        <v>0</v>
      </c>
      <c r="P349" s="383">
        <v>0</v>
      </c>
      <c r="Q349" s="383">
        <v>0</v>
      </c>
      <c r="R349" s="383">
        <v>0</v>
      </c>
      <c r="S349" s="383">
        <v>0</v>
      </c>
      <c r="T349" s="383">
        <v>0</v>
      </c>
      <c r="U349" s="383">
        <v>0</v>
      </c>
      <c r="V349" s="383">
        <v>0</v>
      </c>
      <c r="W349" s="383">
        <v>0</v>
      </c>
      <c r="X349" s="383">
        <v>0</v>
      </c>
      <c r="Y349" s="383">
        <v>0</v>
      </c>
      <c r="Z349" s="383">
        <v>0</v>
      </c>
      <c r="AA349" s="383">
        <v>0</v>
      </c>
      <c r="AB349" s="383">
        <v>0</v>
      </c>
      <c r="AC349" s="383">
        <v>0</v>
      </c>
      <c r="AD349" s="383">
        <v>0</v>
      </c>
      <c r="AE349" s="383">
        <v>0</v>
      </c>
      <c r="AF349" s="383">
        <v>0</v>
      </c>
      <c r="AG349" s="383">
        <v>0</v>
      </c>
      <c r="AH349" s="383">
        <v>0</v>
      </c>
      <c r="AI349" s="383">
        <v>0</v>
      </c>
      <c r="AJ349" s="383">
        <v>0</v>
      </c>
      <c r="AK349" s="383">
        <v>0</v>
      </c>
      <c r="AL349" s="383">
        <v>0</v>
      </c>
      <c r="AM349" s="383">
        <v>0</v>
      </c>
      <c r="AN349" s="383">
        <v>0</v>
      </c>
      <c r="AO349" s="383">
        <v>0</v>
      </c>
      <c r="AP349" s="383">
        <v>0</v>
      </c>
      <c r="AQ349" s="383">
        <v>0</v>
      </c>
      <c r="AR349" s="383">
        <v>0</v>
      </c>
      <c r="AS349" s="383">
        <v>0</v>
      </c>
      <c r="AT349" s="383">
        <v>0</v>
      </c>
      <c r="AU349" s="383">
        <v>0</v>
      </c>
      <c r="AV349" s="383">
        <v>0</v>
      </c>
      <c r="AW349" s="383">
        <v>0</v>
      </c>
      <c r="AX349" s="383">
        <v>0</v>
      </c>
      <c r="AY349" s="383">
        <v>0</v>
      </c>
      <c r="AZ349" s="383">
        <v>0</v>
      </c>
      <c r="BA349" s="383">
        <v>0</v>
      </c>
      <c r="BB349" s="383">
        <v>0</v>
      </c>
      <c r="BC349" s="363">
        <v>0</v>
      </c>
      <c r="BD349" s="363">
        <v>0</v>
      </c>
      <c r="BE349" s="363">
        <v>0</v>
      </c>
      <c r="BF349" s="363">
        <v>0</v>
      </c>
      <c r="BG349" s="363">
        <v>0</v>
      </c>
      <c r="BH349" s="363">
        <v>0</v>
      </c>
      <c r="BI349" s="363">
        <v>0</v>
      </c>
      <c r="BJ349" s="363">
        <v>0</v>
      </c>
      <c r="BK349" s="363">
        <v>0</v>
      </c>
      <c r="BL349" s="363">
        <v>0</v>
      </c>
      <c r="BM349" s="363">
        <v>0</v>
      </c>
      <c r="BN349" s="363">
        <v>0</v>
      </c>
      <c r="BO349" s="363">
        <v>0</v>
      </c>
      <c r="BP349" s="363">
        <v>0</v>
      </c>
      <c r="BQ349" s="363">
        <v>0</v>
      </c>
      <c r="BR349" s="363">
        <v>0</v>
      </c>
      <c r="BS349" s="363">
        <v>0</v>
      </c>
      <c r="BT349" s="363">
        <v>0</v>
      </c>
      <c r="BU349" s="363">
        <v>0</v>
      </c>
      <c r="BV349" s="363">
        <v>0</v>
      </c>
      <c r="BW349" s="363">
        <v>0</v>
      </c>
      <c r="BX349" s="363">
        <v>0</v>
      </c>
      <c r="BY349" s="363">
        <v>0</v>
      </c>
      <c r="BZ349" s="363">
        <v>0</v>
      </c>
      <c r="CA349" s="363">
        <v>0</v>
      </c>
      <c r="CB349" s="363">
        <v>0</v>
      </c>
      <c r="CC349" s="363">
        <v>0</v>
      </c>
      <c r="CD349" s="363">
        <v>0</v>
      </c>
      <c r="CE349" s="363">
        <v>0</v>
      </c>
      <c r="CF349" s="363">
        <v>0</v>
      </c>
      <c r="CG349" s="363">
        <v>0</v>
      </c>
      <c r="CH349" s="363">
        <v>0</v>
      </c>
      <c r="CI349" s="363">
        <v>0</v>
      </c>
      <c r="CJ349" s="363">
        <v>0</v>
      </c>
      <c r="CK349" s="363">
        <v>0</v>
      </c>
      <c r="CL349" s="363">
        <v>0</v>
      </c>
      <c r="CM349" s="363">
        <v>0</v>
      </c>
      <c r="CN349" s="363">
        <v>0</v>
      </c>
      <c r="CO349" s="363">
        <v>0</v>
      </c>
      <c r="CP349" s="363">
        <v>0</v>
      </c>
      <c r="CQ349" s="363">
        <v>0</v>
      </c>
      <c r="CR349" s="363">
        <v>0</v>
      </c>
      <c r="CS349" s="363">
        <v>0</v>
      </c>
      <c r="CT349" s="363">
        <v>0</v>
      </c>
      <c r="CU349" s="363">
        <v>0</v>
      </c>
      <c r="CV349" s="363">
        <v>0</v>
      </c>
      <c r="CW349" s="363">
        <v>0</v>
      </c>
      <c r="CX349" s="363">
        <v>0</v>
      </c>
      <c r="CY349" s="363">
        <v>0</v>
      </c>
      <c r="CZ349" s="363">
        <v>0</v>
      </c>
      <c r="DA349" s="363">
        <v>0</v>
      </c>
      <c r="DB349" s="363">
        <v>0</v>
      </c>
      <c r="DC349" s="363">
        <v>0</v>
      </c>
      <c r="DD349" s="363">
        <v>0</v>
      </c>
      <c r="DE349" s="363">
        <v>0</v>
      </c>
      <c r="DF349" s="363">
        <v>0</v>
      </c>
      <c r="DG349" s="363">
        <v>0</v>
      </c>
      <c r="DH349" s="363">
        <v>0</v>
      </c>
      <c r="DI349" s="363">
        <v>0</v>
      </c>
      <c r="DJ349" s="363">
        <v>0</v>
      </c>
      <c r="DK349" s="363">
        <v>0</v>
      </c>
      <c r="DL349" s="363">
        <v>0</v>
      </c>
      <c r="DM349" s="363">
        <v>0</v>
      </c>
      <c r="DN349" s="363">
        <v>0</v>
      </c>
      <c r="DO349" s="363">
        <v>0</v>
      </c>
      <c r="DP349" s="363">
        <v>0</v>
      </c>
      <c r="DQ349" s="363">
        <v>0</v>
      </c>
      <c r="DR349" s="383">
        <v>0</v>
      </c>
      <c r="DS349" s="383">
        <v>0</v>
      </c>
      <c r="DT349" s="383">
        <v>0</v>
      </c>
      <c r="DU349" s="383">
        <v>0</v>
      </c>
      <c r="DV349" s="383">
        <v>0</v>
      </c>
      <c r="DW349" s="543">
        <f t="shared" si="38"/>
        <v>0</v>
      </c>
      <c r="DX349" s="858">
        <f>DW349+DW350+DW351</f>
        <v>0</v>
      </c>
      <c r="DY349" s="704">
        <f>+DX349*1000000</f>
        <v>0</v>
      </c>
      <c r="DZ349" s="870">
        <f>+DY349-D349</f>
        <v>0</v>
      </c>
      <c r="EA349" s="873" t="str">
        <f>VLOOKUP(POA!$B349,INTERPLAN,28,0)</f>
        <v>N/A</v>
      </c>
      <c r="EB349" s="859" t="e">
        <f>+EDATE(EA349,C349)</f>
        <v>#VALUE!</v>
      </c>
      <c r="EC349" s="859" t="e">
        <f>EB349+30</f>
        <v>#VALUE!</v>
      </c>
      <c r="ED349" s="859" t="e">
        <f>CONCATENATE(MONTH(EA349),"-",YEAR(EA349))</f>
        <v>#VALUE!</v>
      </c>
      <c r="EE349" s="859" t="e">
        <f>CONCATENATE(MONTH(EB349),"-",YEAR(EB349))</f>
        <v>#VALUE!</v>
      </c>
      <c r="EF349" s="861" t="e">
        <f>CONCATENATE(MONTH(EC349),"-",YEAR(EC349))</f>
        <v>#VALUE!</v>
      </c>
      <c r="EG349" s="1105"/>
      <c r="EI349" s="858">
        <f>+DW349+DW350+DW351</f>
        <v>0</v>
      </c>
      <c r="EJ349" s="877">
        <f>+D349/1000000-EI349</f>
        <v>0</v>
      </c>
      <c r="ER349" s="497"/>
    </row>
    <row r="350" spans="1:148" s="278" customFormat="1" outlineLevel="2" x14ac:dyDescent="0.2">
      <c r="A350" s="929"/>
      <c r="B350" s="886"/>
      <c r="C350" s="903"/>
      <c r="D350" s="864"/>
      <c r="E350" s="867"/>
      <c r="F350" s="311" t="s">
        <v>210</v>
      </c>
      <c r="G350" s="363">
        <v>0</v>
      </c>
      <c r="H350" s="363">
        <v>0</v>
      </c>
      <c r="I350" s="363">
        <v>0</v>
      </c>
      <c r="J350" s="363">
        <v>0</v>
      </c>
      <c r="K350" s="363">
        <v>0</v>
      </c>
      <c r="L350" s="363">
        <v>0</v>
      </c>
      <c r="M350" s="363">
        <v>0</v>
      </c>
      <c r="N350" s="363">
        <v>0</v>
      </c>
      <c r="O350" s="363">
        <v>0</v>
      </c>
      <c r="P350" s="363">
        <v>0</v>
      </c>
      <c r="Q350" s="363">
        <v>0</v>
      </c>
      <c r="R350" s="363">
        <v>0</v>
      </c>
      <c r="S350" s="363">
        <v>0</v>
      </c>
      <c r="T350" s="363">
        <v>0</v>
      </c>
      <c r="U350" s="363">
        <v>0</v>
      </c>
      <c r="V350" s="363">
        <v>0</v>
      </c>
      <c r="W350" s="363">
        <v>0</v>
      </c>
      <c r="X350" s="363">
        <v>0</v>
      </c>
      <c r="Y350" s="363">
        <v>0</v>
      </c>
      <c r="Z350" s="363">
        <v>0</v>
      </c>
      <c r="AA350" s="363">
        <v>0</v>
      </c>
      <c r="AB350" s="363">
        <v>0</v>
      </c>
      <c r="AC350" s="363">
        <v>0</v>
      </c>
      <c r="AD350" s="363">
        <v>0</v>
      </c>
      <c r="AE350" s="363">
        <v>0</v>
      </c>
      <c r="AF350" s="363">
        <v>0</v>
      </c>
      <c r="AG350" s="363">
        <v>0</v>
      </c>
      <c r="AH350" s="363">
        <v>0</v>
      </c>
      <c r="AI350" s="363">
        <v>0</v>
      </c>
      <c r="AJ350" s="363">
        <v>0</v>
      </c>
      <c r="AK350" s="363">
        <v>0</v>
      </c>
      <c r="AL350" s="363">
        <v>0</v>
      </c>
      <c r="AM350" s="363">
        <v>0</v>
      </c>
      <c r="AN350" s="363">
        <v>0</v>
      </c>
      <c r="AO350" s="363">
        <v>0</v>
      </c>
      <c r="AP350" s="363">
        <v>0</v>
      </c>
      <c r="AQ350" s="363">
        <v>0</v>
      </c>
      <c r="AR350" s="363">
        <v>0</v>
      </c>
      <c r="AS350" s="363">
        <v>0</v>
      </c>
      <c r="AT350" s="363">
        <v>0</v>
      </c>
      <c r="AU350" s="363">
        <v>0</v>
      </c>
      <c r="AV350" s="363">
        <v>0</v>
      </c>
      <c r="AW350" s="363">
        <v>0</v>
      </c>
      <c r="AX350" s="363">
        <v>0</v>
      </c>
      <c r="AY350" s="363">
        <v>0</v>
      </c>
      <c r="AZ350" s="363">
        <v>0</v>
      </c>
      <c r="BA350" s="363">
        <v>0</v>
      </c>
      <c r="BB350" s="363">
        <v>0</v>
      </c>
      <c r="BC350" s="363">
        <v>0</v>
      </c>
      <c r="BD350" s="363">
        <v>0</v>
      </c>
      <c r="BE350" s="363">
        <v>0</v>
      </c>
      <c r="BF350" s="363">
        <v>0</v>
      </c>
      <c r="BG350" s="363">
        <v>0</v>
      </c>
      <c r="BH350" s="363">
        <v>0</v>
      </c>
      <c r="BI350" s="363">
        <v>0</v>
      </c>
      <c r="BJ350" s="363">
        <v>0</v>
      </c>
      <c r="BK350" s="363">
        <v>0</v>
      </c>
      <c r="BL350" s="363">
        <v>0</v>
      </c>
      <c r="BM350" s="363">
        <v>0</v>
      </c>
      <c r="BN350" s="363">
        <v>0</v>
      </c>
      <c r="BO350" s="363">
        <v>0</v>
      </c>
      <c r="BP350" s="363">
        <v>0</v>
      </c>
      <c r="BQ350" s="363">
        <v>0</v>
      </c>
      <c r="BR350" s="363">
        <v>0</v>
      </c>
      <c r="BS350" s="363">
        <v>0</v>
      </c>
      <c r="BT350" s="363">
        <v>0</v>
      </c>
      <c r="BU350" s="363">
        <v>0</v>
      </c>
      <c r="BV350" s="363">
        <v>0</v>
      </c>
      <c r="BW350" s="363">
        <v>0</v>
      </c>
      <c r="BX350" s="363">
        <v>0</v>
      </c>
      <c r="BY350" s="363">
        <v>0</v>
      </c>
      <c r="BZ350" s="363">
        <v>0</v>
      </c>
      <c r="CA350" s="363">
        <v>0</v>
      </c>
      <c r="CB350" s="363">
        <v>0</v>
      </c>
      <c r="CC350" s="363">
        <v>0</v>
      </c>
      <c r="CD350" s="363">
        <v>0</v>
      </c>
      <c r="CE350" s="363">
        <v>0</v>
      </c>
      <c r="CF350" s="363">
        <v>0</v>
      </c>
      <c r="CG350" s="363">
        <v>0</v>
      </c>
      <c r="CH350" s="363">
        <v>0</v>
      </c>
      <c r="CI350" s="363">
        <v>0</v>
      </c>
      <c r="CJ350" s="363">
        <v>0</v>
      </c>
      <c r="CK350" s="363">
        <v>0</v>
      </c>
      <c r="CL350" s="363">
        <v>0</v>
      </c>
      <c r="CM350" s="363">
        <v>0</v>
      </c>
      <c r="CN350" s="363">
        <v>0</v>
      </c>
      <c r="CO350" s="363">
        <v>0</v>
      </c>
      <c r="CP350" s="363">
        <v>0</v>
      </c>
      <c r="CQ350" s="363">
        <v>0</v>
      </c>
      <c r="CR350" s="363">
        <v>0</v>
      </c>
      <c r="CS350" s="363">
        <v>0</v>
      </c>
      <c r="CT350" s="363">
        <v>0</v>
      </c>
      <c r="CU350" s="363">
        <v>0</v>
      </c>
      <c r="CV350" s="363">
        <v>0</v>
      </c>
      <c r="CW350" s="363">
        <v>0</v>
      </c>
      <c r="CX350" s="363">
        <v>0</v>
      </c>
      <c r="CY350" s="363">
        <v>0</v>
      </c>
      <c r="CZ350" s="363">
        <v>0</v>
      </c>
      <c r="DA350" s="363">
        <v>0</v>
      </c>
      <c r="DB350" s="363">
        <v>0</v>
      </c>
      <c r="DC350" s="363">
        <v>0</v>
      </c>
      <c r="DD350" s="363">
        <v>0</v>
      </c>
      <c r="DE350" s="363">
        <v>0</v>
      </c>
      <c r="DF350" s="363">
        <v>0</v>
      </c>
      <c r="DG350" s="363">
        <v>0</v>
      </c>
      <c r="DH350" s="363">
        <v>0</v>
      </c>
      <c r="DI350" s="363">
        <v>0</v>
      </c>
      <c r="DJ350" s="363">
        <v>0</v>
      </c>
      <c r="DK350" s="363">
        <v>0</v>
      </c>
      <c r="DL350" s="363">
        <v>0</v>
      </c>
      <c r="DM350" s="363">
        <v>0</v>
      </c>
      <c r="DN350" s="363">
        <v>0</v>
      </c>
      <c r="DO350" s="363">
        <v>0</v>
      </c>
      <c r="DP350" s="363">
        <v>0</v>
      </c>
      <c r="DQ350" s="363">
        <v>0</v>
      </c>
      <c r="DR350" s="363">
        <v>0</v>
      </c>
      <c r="DS350" s="363">
        <v>0</v>
      </c>
      <c r="DT350" s="363">
        <v>0</v>
      </c>
      <c r="DU350" s="363">
        <v>0</v>
      </c>
      <c r="DV350" s="363">
        <v>0</v>
      </c>
      <c r="DW350" s="544">
        <f t="shared" si="38"/>
        <v>0</v>
      </c>
      <c r="DX350" s="858"/>
      <c r="DY350" s="705"/>
      <c r="DZ350" s="871"/>
      <c r="EA350" s="873"/>
      <c r="EB350" s="859"/>
      <c r="EC350" s="859"/>
      <c r="ED350" s="859"/>
      <c r="EE350" s="859"/>
      <c r="EF350" s="861"/>
      <c r="EG350" s="1106"/>
      <c r="EI350" s="858"/>
      <c r="EJ350" s="877"/>
      <c r="ER350" s="497"/>
    </row>
    <row r="351" spans="1:148" s="278" customFormat="1" ht="12.75" outlineLevel="2" thickBot="1" x14ac:dyDescent="0.25">
      <c r="A351" s="1072"/>
      <c r="B351" s="908"/>
      <c r="C351" s="909"/>
      <c r="D351" s="865"/>
      <c r="E351" s="875"/>
      <c r="F351" s="313" t="s">
        <v>211</v>
      </c>
      <c r="G351" s="387">
        <v>0</v>
      </c>
      <c r="H351" s="387">
        <v>0</v>
      </c>
      <c r="I351" s="387">
        <v>0</v>
      </c>
      <c r="J351" s="387">
        <v>0</v>
      </c>
      <c r="K351" s="387">
        <v>0</v>
      </c>
      <c r="L351" s="387">
        <v>0</v>
      </c>
      <c r="M351" s="387">
        <v>0</v>
      </c>
      <c r="N351" s="387">
        <v>0</v>
      </c>
      <c r="O351" s="387">
        <v>0</v>
      </c>
      <c r="P351" s="387">
        <v>0</v>
      </c>
      <c r="Q351" s="387">
        <v>0</v>
      </c>
      <c r="R351" s="387">
        <v>0</v>
      </c>
      <c r="S351" s="387">
        <v>0</v>
      </c>
      <c r="T351" s="387">
        <v>0</v>
      </c>
      <c r="U351" s="387">
        <v>0</v>
      </c>
      <c r="V351" s="387">
        <v>0</v>
      </c>
      <c r="W351" s="387">
        <v>0</v>
      </c>
      <c r="X351" s="387">
        <v>0</v>
      </c>
      <c r="Y351" s="387">
        <v>0</v>
      </c>
      <c r="Z351" s="387">
        <v>0</v>
      </c>
      <c r="AA351" s="387">
        <v>0</v>
      </c>
      <c r="AB351" s="387">
        <v>0</v>
      </c>
      <c r="AC351" s="387">
        <v>0</v>
      </c>
      <c r="AD351" s="387">
        <v>0</v>
      </c>
      <c r="AE351" s="387">
        <v>0</v>
      </c>
      <c r="AF351" s="387">
        <v>0</v>
      </c>
      <c r="AG351" s="387">
        <v>0</v>
      </c>
      <c r="AH351" s="387">
        <v>0</v>
      </c>
      <c r="AI351" s="387">
        <v>0</v>
      </c>
      <c r="AJ351" s="387">
        <v>0</v>
      </c>
      <c r="AK351" s="387">
        <v>0</v>
      </c>
      <c r="AL351" s="387">
        <v>0</v>
      </c>
      <c r="AM351" s="387">
        <v>0</v>
      </c>
      <c r="AN351" s="387">
        <v>0</v>
      </c>
      <c r="AO351" s="387">
        <v>0</v>
      </c>
      <c r="AP351" s="387">
        <v>0</v>
      </c>
      <c r="AQ351" s="387">
        <v>0</v>
      </c>
      <c r="AR351" s="387">
        <v>0</v>
      </c>
      <c r="AS351" s="387">
        <v>0</v>
      </c>
      <c r="AT351" s="387">
        <v>0</v>
      </c>
      <c r="AU351" s="387">
        <v>0</v>
      </c>
      <c r="AV351" s="387">
        <v>0</v>
      </c>
      <c r="AW351" s="387">
        <v>0</v>
      </c>
      <c r="AX351" s="387">
        <v>0</v>
      </c>
      <c r="AY351" s="387">
        <v>0</v>
      </c>
      <c r="AZ351" s="387">
        <v>0</v>
      </c>
      <c r="BA351" s="387">
        <v>0</v>
      </c>
      <c r="BB351" s="387">
        <v>0</v>
      </c>
      <c r="BC351" s="363">
        <v>0</v>
      </c>
      <c r="BD351" s="363">
        <v>0</v>
      </c>
      <c r="BE351" s="363">
        <v>0</v>
      </c>
      <c r="BF351" s="363">
        <v>0</v>
      </c>
      <c r="BG351" s="363">
        <v>0</v>
      </c>
      <c r="BH351" s="363">
        <v>0</v>
      </c>
      <c r="BI351" s="363">
        <v>0</v>
      </c>
      <c r="BJ351" s="363">
        <v>0</v>
      </c>
      <c r="BK351" s="363">
        <v>0</v>
      </c>
      <c r="BL351" s="363">
        <v>0</v>
      </c>
      <c r="BM351" s="363">
        <v>0</v>
      </c>
      <c r="BN351" s="363">
        <v>0</v>
      </c>
      <c r="BO351" s="363">
        <v>0</v>
      </c>
      <c r="BP351" s="363">
        <v>0</v>
      </c>
      <c r="BQ351" s="363">
        <v>0</v>
      </c>
      <c r="BR351" s="363">
        <v>0</v>
      </c>
      <c r="BS351" s="363">
        <v>0</v>
      </c>
      <c r="BT351" s="363">
        <v>0</v>
      </c>
      <c r="BU351" s="363">
        <v>0</v>
      </c>
      <c r="BV351" s="363">
        <v>0</v>
      </c>
      <c r="BW351" s="363">
        <v>0</v>
      </c>
      <c r="BX351" s="363">
        <v>0</v>
      </c>
      <c r="BY351" s="363">
        <v>0</v>
      </c>
      <c r="BZ351" s="363">
        <v>0</v>
      </c>
      <c r="CA351" s="363">
        <v>0</v>
      </c>
      <c r="CB351" s="363">
        <v>0</v>
      </c>
      <c r="CC351" s="363">
        <v>0</v>
      </c>
      <c r="CD351" s="363">
        <v>0</v>
      </c>
      <c r="CE351" s="363">
        <v>0</v>
      </c>
      <c r="CF351" s="363">
        <v>0</v>
      </c>
      <c r="CG351" s="363">
        <v>0</v>
      </c>
      <c r="CH351" s="363">
        <v>0</v>
      </c>
      <c r="CI351" s="363">
        <v>0</v>
      </c>
      <c r="CJ351" s="363">
        <v>0</v>
      </c>
      <c r="CK351" s="363">
        <v>0</v>
      </c>
      <c r="CL351" s="363">
        <v>0</v>
      </c>
      <c r="CM351" s="363">
        <v>0</v>
      </c>
      <c r="CN351" s="363">
        <v>0</v>
      </c>
      <c r="CO351" s="363">
        <v>0</v>
      </c>
      <c r="CP351" s="363">
        <v>0</v>
      </c>
      <c r="CQ351" s="363">
        <v>0</v>
      </c>
      <c r="CR351" s="363">
        <v>0</v>
      </c>
      <c r="CS351" s="363">
        <v>0</v>
      </c>
      <c r="CT351" s="363">
        <v>0</v>
      </c>
      <c r="CU351" s="363">
        <v>0</v>
      </c>
      <c r="CV351" s="363">
        <v>0</v>
      </c>
      <c r="CW351" s="363">
        <v>0</v>
      </c>
      <c r="CX351" s="363">
        <v>0</v>
      </c>
      <c r="CY351" s="363">
        <v>0</v>
      </c>
      <c r="CZ351" s="363">
        <v>0</v>
      </c>
      <c r="DA351" s="363">
        <v>0</v>
      </c>
      <c r="DB351" s="363">
        <v>0</v>
      </c>
      <c r="DC351" s="363">
        <v>0</v>
      </c>
      <c r="DD351" s="363">
        <v>0</v>
      </c>
      <c r="DE351" s="363">
        <v>0</v>
      </c>
      <c r="DF351" s="363">
        <v>0</v>
      </c>
      <c r="DG351" s="363">
        <v>0</v>
      </c>
      <c r="DH351" s="363">
        <v>0</v>
      </c>
      <c r="DI351" s="363">
        <v>0</v>
      </c>
      <c r="DJ351" s="363">
        <v>0</v>
      </c>
      <c r="DK351" s="363">
        <v>0</v>
      </c>
      <c r="DL351" s="363">
        <v>0</v>
      </c>
      <c r="DM351" s="363">
        <v>0</v>
      </c>
      <c r="DN351" s="363">
        <v>0</v>
      </c>
      <c r="DO351" s="363">
        <v>0</v>
      </c>
      <c r="DP351" s="363">
        <v>0</v>
      </c>
      <c r="DQ351" s="363">
        <v>0</v>
      </c>
      <c r="DR351" s="387">
        <v>0</v>
      </c>
      <c r="DS351" s="387">
        <v>0</v>
      </c>
      <c r="DT351" s="387">
        <v>0</v>
      </c>
      <c r="DU351" s="387">
        <v>0</v>
      </c>
      <c r="DV351" s="387">
        <v>0</v>
      </c>
      <c r="DW351" s="545">
        <f t="shared" si="38"/>
        <v>0</v>
      </c>
      <c r="DX351" s="858"/>
      <c r="DY351" s="706"/>
      <c r="DZ351" s="872"/>
      <c r="EA351" s="873"/>
      <c r="EB351" s="859"/>
      <c r="EC351" s="859"/>
      <c r="ED351" s="859"/>
      <c r="EE351" s="859"/>
      <c r="EF351" s="861"/>
      <c r="EG351" s="1107"/>
      <c r="EI351" s="858"/>
      <c r="EJ351" s="877"/>
      <c r="ER351" s="497"/>
    </row>
    <row r="352" spans="1:148" s="278" customFormat="1" ht="24" outlineLevel="2" x14ac:dyDescent="0.2">
      <c r="A352" s="892"/>
      <c r="B352" s="897" t="s">
        <v>176</v>
      </c>
      <c r="C352" s="902">
        <v>5</v>
      </c>
      <c r="D352" s="863">
        <f>+IFERROR(VLOOKUP(B352,'Detalle Plan de Adquisiciones'!$G$95:$L$153,6,FALSE),0)</f>
        <v>0</v>
      </c>
      <c r="E352" s="866" t="str">
        <f>+'Detalle Plan de Adquisiciones'!F146</f>
        <v>INTERVENTORÍA TÉCNICA, ADMINISTRATIVA, FINANCIERA Y AMBIENTAL AL CONTRATO CUYO OBJETO ES: PARADERO CON ESPACIO PUBLICO 01  K 3W X AV. CIRCUNV.</v>
      </c>
      <c r="F352" s="312" t="s">
        <v>410</v>
      </c>
      <c r="G352" s="354">
        <v>0</v>
      </c>
      <c r="H352" s="354">
        <v>0</v>
      </c>
      <c r="I352" s="354">
        <v>0</v>
      </c>
      <c r="J352" s="354">
        <v>0</v>
      </c>
      <c r="K352" s="354">
        <v>0</v>
      </c>
      <c r="L352" s="354">
        <v>0</v>
      </c>
      <c r="M352" s="354">
        <v>0</v>
      </c>
      <c r="N352" s="354">
        <v>0</v>
      </c>
      <c r="O352" s="354">
        <v>0</v>
      </c>
      <c r="P352" s="354">
        <v>0</v>
      </c>
      <c r="Q352" s="354">
        <v>0</v>
      </c>
      <c r="R352" s="354">
        <v>0</v>
      </c>
      <c r="S352" s="354">
        <v>0</v>
      </c>
      <c r="T352" s="354">
        <v>0</v>
      </c>
      <c r="U352" s="354">
        <v>0</v>
      </c>
      <c r="V352" s="354">
        <v>0</v>
      </c>
      <c r="W352" s="354">
        <v>0</v>
      </c>
      <c r="X352" s="354">
        <v>0</v>
      </c>
      <c r="Y352" s="354">
        <v>0</v>
      </c>
      <c r="Z352" s="354">
        <v>0</v>
      </c>
      <c r="AA352" s="354">
        <v>0</v>
      </c>
      <c r="AB352" s="354">
        <v>0</v>
      </c>
      <c r="AC352" s="354">
        <v>0</v>
      </c>
      <c r="AD352" s="354">
        <v>0</v>
      </c>
      <c r="AE352" s="354">
        <v>0</v>
      </c>
      <c r="AF352" s="354">
        <v>0</v>
      </c>
      <c r="AG352" s="354">
        <v>0</v>
      </c>
      <c r="AH352" s="354">
        <v>0</v>
      </c>
      <c r="AI352" s="354">
        <v>0</v>
      </c>
      <c r="AJ352" s="354">
        <v>0</v>
      </c>
      <c r="AK352" s="354">
        <v>0</v>
      </c>
      <c r="AL352" s="354">
        <v>0</v>
      </c>
      <c r="AM352" s="354">
        <v>0</v>
      </c>
      <c r="AN352" s="354">
        <v>0</v>
      </c>
      <c r="AO352" s="354">
        <v>0</v>
      </c>
      <c r="AP352" s="354">
        <v>0</v>
      </c>
      <c r="AQ352" s="354">
        <v>0</v>
      </c>
      <c r="AR352" s="354">
        <v>0</v>
      </c>
      <c r="AS352" s="354">
        <v>0</v>
      </c>
      <c r="AT352" s="354">
        <v>0</v>
      </c>
      <c r="AU352" s="354">
        <v>0</v>
      </c>
      <c r="AV352" s="354">
        <v>0</v>
      </c>
      <c r="AW352" s="354">
        <v>0</v>
      </c>
      <c r="AX352" s="354">
        <v>0</v>
      </c>
      <c r="AY352" s="354">
        <v>0</v>
      </c>
      <c r="AZ352" s="354">
        <v>0</v>
      </c>
      <c r="BA352" s="354">
        <v>0</v>
      </c>
      <c r="BB352" s="354">
        <v>0</v>
      </c>
      <c r="BC352" s="363">
        <v>0</v>
      </c>
      <c r="BD352" s="363">
        <v>0</v>
      </c>
      <c r="BE352" s="363">
        <v>0</v>
      </c>
      <c r="BF352" s="363">
        <v>0</v>
      </c>
      <c r="BG352" s="363">
        <v>0</v>
      </c>
      <c r="BH352" s="363">
        <v>0</v>
      </c>
      <c r="BI352" s="363">
        <v>0</v>
      </c>
      <c r="BJ352" s="363">
        <v>0</v>
      </c>
      <c r="BK352" s="363">
        <v>0</v>
      </c>
      <c r="BL352" s="363">
        <v>0</v>
      </c>
      <c r="BM352" s="363">
        <v>0</v>
      </c>
      <c r="BN352" s="363">
        <v>0</v>
      </c>
      <c r="BO352" s="363">
        <v>0</v>
      </c>
      <c r="BP352" s="363">
        <v>0</v>
      </c>
      <c r="BQ352" s="363">
        <v>0</v>
      </c>
      <c r="BR352" s="363">
        <v>0</v>
      </c>
      <c r="BS352" s="363">
        <v>0</v>
      </c>
      <c r="BT352" s="363">
        <v>0</v>
      </c>
      <c r="BU352" s="363">
        <v>0</v>
      </c>
      <c r="BV352" s="363">
        <v>0</v>
      </c>
      <c r="BW352" s="363">
        <v>0</v>
      </c>
      <c r="BX352" s="363">
        <v>0</v>
      </c>
      <c r="BY352" s="363">
        <v>0</v>
      </c>
      <c r="BZ352" s="363">
        <v>0</v>
      </c>
      <c r="CA352" s="363">
        <v>0</v>
      </c>
      <c r="CB352" s="363">
        <v>0</v>
      </c>
      <c r="CC352" s="363">
        <v>0</v>
      </c>
      <c r="CD352" s="363">
        <v>0</v>
      </c>
      <c r="CE352" s="363">
        <v>0</v>
      </c>
      <c r="CF352" s="363">
        <v>0</v>
      </c>
      <c r="CG352" s="363">
        <v>0</v>
      </c>
      <c r="CH352" s="363">
        <v>0</v>
      </c>
      <c r="CI352" s="363">
        <v>0</v>
      </c>
      <c r="CJ352" s="363">
        <v>0</v>
      </c>
      <c r="CK352" s="363">
        <v>0</v>
      </c>
      <c r="CL352" s="363">
        <v>0</v>
      </c>
      <c r="CM352" s="363">
        <v>0</v>
      </c>
      <c r="CN352" s="363">
        <v>0</v>
      </c>
      <c r="CO352" s="363">
        <v>0</v>
      </c>
      <c r="CP352" s="363">
        <v>0</v>
      </c>
      <c r="CQ352" s="363">
        <v>0</v>
      </c>
      <c r="CR352" s="363">
        <v>0</v>
      </c>
      <c r="CS352" s="363">
        <v>0</v>
      </c>
      <c r="CT352" s="363">
        <v>0</v>
      </c>
      <c r="CU352" s="363">
        <v>0</v>
      </c>
      <c r="CV352" s="363">
        <v>0</v>
      </c>
      <c r="CW352" s="363">
        <v>0</v>
      </c>
      <c r="CX352" s="363">
        <v>0</v>
      </c>
      <c r="CY352" s="363">
        <v>0</v>
      </c>
      <c r="CZ352" s="363">
        <v>0</v>
      </c>
      <c r="DA352" s="363">
        <v>0</v>
      </c>
      <c r="DB352" s="363">
        <v>0</v>
      </c>
      <c r="DC352" s="363">
        <v>0</v>
      </c>
      <c r="DD352" s="363">
        <v>0</v>
      </c>
      <c r="DE352" s="363">
        <v>0</v>
      </c>
      <c r="DF352" s="363">
        <v>0</v>
      </c>
      <c r="DG352" s="363">
        <v>0</v>
      </c>
      <c r="DH352" s="363">
        <v>0</v>
      </c>
      <c r="DI352" s="363">
        <v>0</v>
      </c>
      <c r="DJ352" s="363">
        <v>0</v>
      </c>
      <c r="DK352" s="363">
        <v>0</v>
      </c>
      <c r="DL352" s="363">
        <v>0</v>
      </c>
      <c r="DM352" s="363">
        <v>0</v>
      </c>
      <c r="DN352" s="363">
        <v>0</v>
      </c>
      <c r="DO352" s="363">
        <v>0</v>
      </c>
      <c r="DP352" s="363">
        <v>0</v>
      </c>
      <c r="DQ352" s="363">
        <v>0</v>
      </c>
      <c r="DR352" s="354">
        <v>0</v>
      </c>
      <c r="DS352" s="354">
        <v>0</v>
      </c>
      <c r="DT352" s="354">
        <v>0</v>
      </c>
      <c r="DU352" s="354">
        <v>0</v>
      </c>
      <c r="DV352" s="354">
        <v>0</v>
      </c>
      <c r="DW352" s="543">
        <f t="shared" si="38"/>
        <v>0</v>
      </c>
      <c r="DX352" s="858">
        <f>DW352+DW353+DW354</f>
        <v>0</v>
      </c>
      <c r="DY352" s="704">
        <f>+DX352*1000000</f>
        <v>0</v>
      </c>
      <c r="DZ352" s="870">
        <f>+DY352-D352</f>
        <v>0</v>
      </c>
      <c r="EA352" s="873">
        <f>VLOOKUP(POA!$B352,INTERPLAN,28,0)</f>
        <v>41188</v>
      </c>
      <c r="EB352" s="859">
        <f>+EDATE(EA352,C352)</f>
        <v>41339</v>
      </c>
      <c r="EC352" s="859">
        <f>EB352+30</f>
        <v>41369</v>
      </c>
      <c r="ED352" s="859" t="str">
        <f>CONCATENATE(MONTH(EA352),"-",YEAR(EA352))</f>
        <v>10-2012</v>
      </c>
      <c r="EE352" s="859" t="str">
        <f>CONCATENATE(MONTH(EB352),"-",YEAR(EB352))</f>
        <v>3-2013</v>
      </c>
      <c r="EF352" s="861" t="str">
        <f>CONCATENATE(MONTH(EC352),"-",YEAR(EC352))</f>
        <v>4-2013</v>
      </c>
      <c r="EG352" s="1105"/>
      <c r="EI352" s="858">
        <f>+DW352+DW353+DW354</f>
        <v>0</v>
      </c>
      <c r="EJ352" s="877">
        <f>+D352/1000000-EI352</f>
        <v>0</v>
      </c>
      <c r="ER352" s="497"/>
    </row>
    <row r="353" spans="1:148" s="278" customFormat="1" outlineLevel="2" x14ac:dyDescent="0.2">
      <c r="A353" s="893"/>
      <c r="B353" s="886"/>
      <c r="C353" s="903"/>
      <c r="D353" s="864"/>
      <c r="E353" s="867"/>
      <c r="F353" s="311" t="s">
        <v>210</v>
      </c>
      <c r="G353" s="363">
        <v>0</v>
      </c>
      <c r="H353" s="363">
        <v>0</v>
      </c>
      <c r="I353" s="363">
        <v>0</v>
      </c>
      <c r="J353" s="363">
        <v>0</v>
      </c>
      <c r="K353" s="363">
        <v>0</v>
      </c>
      <c r="L353" s="363">
        <v>0</v>
      </c>
      <c r="M353" s="363">
        <v>0</v>
      </c>
      <c r="N353" s="363">
        <v>0</v>
      </c>
      <c r="O353" s="363">
        <v>0</v>
      </c>
      <c r="P353" s="363">
        <v>0</v>
      </c>
      <c r="Q353" s="363">
        <v>0</v>
      </c>
      <c r="R353" s="363">
        <v>0</v>
      </c>
      <c r="S353" s="363">
        <v>0</v>
      </c>
      <c r="T353" s="363">
        <v>0</v>
      </c>
      <c r="U353" s="363">
        <v>0</v>
      </c>
      <c r="V353" s="363">
        <v>0</v>
      </c>
      <c r="W353" s="363">
        <v>0</v>
      </c>
      <c r="X353" s="363">
        <v>0</v>
      </c>
      <c r="Y353" s="363">
        <v>0</v>
      </c>
      <c r="Z353" s="363">
        <v>0</v>
      </c>
      <c r="AA353" s="363">
        <v>0</v>
      </c>
      <c r="AB353" s="363">
        <v>0</v>
      </c>
      <c r="AC353" s="363">
        <v>0</v>
      </c>
      <c r="AD353" s="363">
        <v>0</v>
      </c>
      <c r="AE353" s="363">
        <v>0</v>
      </c>
      <c r="AF353" s="363">
        <v>0</v>
      </c>
      <c r="AG353" s="363">
        <v>0</v>
      </c>
      <c r="AH353" s="363">
        <v>0</v>
      </c>
      <c r="AI353" s="363">
        <v>0</v>
      </c>
      <c r="AJ353" s="363">
        <v>0</v>
      </c>
      <c r="AK353" s="363">
        <v>0</v>
      </c>
      <c r="AL353" s="363">
        <v>0</v>
      </c>
      <c r="AM353" s="363">
        <v>0</v>
      </c>
      <c r="AN353" s="363">
        <v>0</v>
      </c>
      <c r="AO353" s="363">
        <v>0</v>
      </c>
      <c r="AP353" s="363">
        <v>0</v>
      </c>
      <c r="AQ353" s="363">
        <v>0</v>
      </c>
      <c r="AR353" s="363">
        <v>0</v>
      </c>
      <c r="AS353" s="363">
        <v>0</v>
      </c>
      <c r="AT353" s="363">
        <v>0</v>
      </c>
      <c r="AU353" s="363">
        <v>0</v>
      </c>
      <c r="AV353" s="363">
        <v>0</v>
      </c>
      <c r="AW353" s="363">
        <v>0</v>
      </c>
      <c r="AX353" s="363">
        <v>0</v>
      </c>
      <c r="AY353" s="363">
        <v>0</v>
      </c>
      <c r="AZ353" s="363">
        <v>0</v>
      </c>
      <c r="BA353" s="363">
        <v>0</v>
      </c>
      <c r="BB353" s="363">
        <v>0</v>
      </c>
      <c r="BC353" s="363">
        <v>0</v>
      </c>
      <c r="BD353" s="363">
        <v>0</v>
      </c>
      <c r="BE353" s="363">
        <v>0</v>
      </c>
      <c r="BF353" s="363">
        <v>0</v>
      </c>
      <c r="BG353" s="363">
        <v>0</v>
      </c>
      <c r="BH353" s="363">
        <v>0</v>
      </c>
      <c r="BI353" s="363">
        <v>0</v>
      </c>
      <c r="BJ353" s="363">
        <v>0</v>
      </c>
      <c r="BK353" s="363">
        <v>0</v>
      </c>
      <c r="BL353" s="363">
        <v>0</v>
      </c>
      <c r="BM353" s="363">
        <v>0</v>
      </c>
      <c r="BN353" s="363">
        <v>0</v>
      </c>
      <c r="BO353" s="363">
        <v>0</v>
      </c>
      <c r="BP353" s="363">
        <v>0</v>
      </c>
      <c r="BQ353" s="363">
        <v>0</v>
      </c>
      <c r="BR353" s="363">
        <v>0</v>
      </c>
      <c r="BS353" s="363">
        <v>0</v>
      </c>
      <c r="BT353" s="363">
        <v>0</v>
      </c>
      <c r="BU353" s="363">
        <v>0</v>
      </c>
      <c r="BV353" s="363">
        <v>0</v>
      </c>
      <c r="BW353" s="363">
        <v>0</v>
      </c>
      <c r="BX353" s="363">
        <v>0</v>
      </c>
      <c r="BY353" s="363">
        <v>0</v>
      </c>
      <c r="BZ353" s="363">
        <v>0</v>
      </c>
      <c r="CA353" s="363">
        <v>0</v>
      </c>
      <c r="CB353" s="363">
        <v>0</v>
      </c>
      <c r="CC353" s="363">
        <v>0</v>
      </c>
      <c r="CD353" s="363">
        <v>0</v>
      </c>
      <c r="CE353" s="363">
        <v>0</v>
      </c>
      <c r="CF353" s="363">
        <v>0</v>
      </c>
      <c r="CG353" s="363">
        <v>0</v>
      </c>
      <c r="CH353" s="363">
        <v>0</v>
      </c>
      <c r="CI353" s="363">
        <v>0</v>
      </c>
      <c r="CJ353" s="363">
        <v>0</v>
      </c>
      <c r="CK353" s="363">
        <v>0</v>
      </c>
      <c r="CL353" s="363">
        <v>0</v>
      </c>
      <c r="CM353" s="363">
        <v>0</v>
      </c>
      <c r="CN353" s="363">
        <v>0</v>
      </c>
      <c r="CO353" s="363">
        <v>0</v>
      </c>
      <c r="CP353" s="363">
        <v>0</v>
      </c>
      <c r="CQ353" s="363">
        <v>0</v>
      </c>
      <c r="CR353" s="363">
        <v>0</v>
      </c>
      <c r="CS353" s="363">
        <v>0</v>
      </c>
      <c r="CT353" s="363">
        <v>0</v>
      </c>
      <c r="CU353" s="363">
        <v>0</v>
      </c>
      <c r="CV353" s="363">
        <v>0</v>
      </c>
      <c r="CW353" s="363">
        <v>0</v>
      </c>
      <c r="CX353" s="363">
        <v>0</v>
      </c>
      <c r="CY353" s="363">
        <v>0</v>
      </c>
      <c r="CZ353" s="363">
        <v>0</v>
      </c>
      <c r="DA353" s="363">
        <v>0</v>
      </c>
      <c r="DB353" s="363">
        <v>0</v>
      </c>
      <c r="DC353" s="363">
        <v>0</v>
      </c>
      <c r="DD353" s="363">
        <v>0</v>
      </c>
      <c r="DE353" s="363">
        <v>0</v>
      </c>
      <c r="DF353" s="363">
        <v>0</v>
      </c>
      <c r="DG353" s="363">
        <v>0</v>
      </c>
      <c r="DH353" s="363">
        <v>0</v>
      </c>
      <c r="DI353" s="363">
        <v>0</v>
      </c>
      <c r="DJ353" s="363">
        <v>0</v>
      </c>
      <c r="DK353" s="363">
        <v>0</v>
      </c>
      <c r="DL353" s="363">
        <v>0</v>
      </c>
      <c r="DM353" s="363">
        <v>0</v>
      </c>
      <c r="DN353" s="363">
        <v>0</v>
      </c>
      <c r="DO353" s="363">
        <v>0</v>
      </c>
      <c r="DP353" s="363">
        <v>0</v>
      </c>
      <c r="DQ353" s="363">
        <v>0</v>
      </c>
      <c r="DR353" s="363">
        <v>0</v>
      </c>
      <c r="DS353" s="363">
        <v>0</v>
      </c>
      <c r="DT353" s="363">
        <v>0</v>
      </c>
      <c r="DU353" s="363">
        <v>0</v>
      </c>
      <c r="DV353" s="363">
        <v>0</v>
      </c>
      <c r="DW353" s="544">
        <f t="shared" si="38"/>
        <v>0</v>
      </c>
      <c r="DX353" s="858"/>
      <c r="DY353" s="705"/>
      <c r="DZ353" s="871"/>
      <c r="EA353" s="873"/>
      <c r="EB353" s="859"/>
      <c r="EC353" s="859"/>
      <c r="ED353" s="859"/>
      <c r="EE353" s="859"/>
      <c r="EF353" s="861"/>
      <c r="EG353" s="1106"/>
      <c r="EI353" s="858"/>
      <c r="EJ353" s="877"/>
      <c r="ER353" s="497"/>
    </row>
    <row r="354" spans="1:148" s="278" customFormat="1" ht="12.75" outlineLevel="2" thickBot="1" x14ac:dyDescent="0.25">
      <c r="A354" s="1006"/>
      <c r="B354" s="908"/>
      <c r="C354" s="909"/>
      <c r="D354" s="865"/>
      <c r="E354" s="875"/>
      <c r="F354" s="313" t="s">
        <v>211</v>
      </c>
      <c r="G354" s="387">
        <v>0</v>
      </c>
      <c r="H354" s="387">
        <v>0</v>
      </c>
      <c r="I354" s="387">
        <v>0</v>
      </c>
      <c r="J354" s="387">
        <v>0</v>
      </c>
      <c r="K354" s="387">
        <v>0</v>
      </c>
      <c r="L354" s="387">
        <v>0</v>
      </c>
      <c r="M354" s="387">
        <v>0</v>
      </c>
      <c r="N354" s="387">
        <v>0</v>
      </c>
      <c r="O354" s="387">
        <v>0</v>
      </c>
      <c r="P354" s="387">
        <v>0</v>
      </c>
      <c r="Q354" s="387">
        <v>0</v>
      </c>
      <c r="R354" s="387">
        <v>0</v>
      </c>
      <c r="S354" s="387">
        <v>0</v>
      </c>
      <c r="T354" s="387">
        <v>0</v>
      </c>
      <c r="U354" s="387">
        <v>0</v>
      </c>
      <c r="V354" s="387">
        <v>0</v>
      </c>
      <c r="W354" s="387">
        <v>0</v>
      </c>
      <c r="X354" s="387">
        <v>0</v>
      </c>
      <c r="Y354" s="387">
        <v>0</v>
      </c>
      <c r="Z354" s="387">
        <v>0</v>
      </c>
      <c r="AA354" s="387">
        <v>0</v>
      </c>
      <c r="AB354" s="387">
        <v>0</v>
      </c>
      <c r="AC354" s="387">
        <v>0</v>
      </c>
      <c r="AD354" s="387">
        <v>0</v>
      </c>
      <c r="AE354" s="387">
        <v>0</v>
      </c>
      <c r="AF354" s="387">
        <v>0</v>
      </c>
      <c r="AG354" s="387">
        <v>0</v>
      </c>
      <c r="AH354" s="387">
        <v>0</v>
      </c>
      <c r="AI354" s="387">
        <v>0</v>
      </c>
      <c r="AJ354" s="387">
        <v>0</v>
      </c>
      <c r="AK354" s="387">
        <v>0</v>
      </c>
      <c r="AL354" s="387">
        <v>0</v>
      </c>
      <c r="AM354" s="387">
        <v>0</v>
      </c>
      <c r="AN354" s="387">
        <v>0</v>
      </c>
      <c r="AO354" s="387">
        <v>0</v>
      </c>
      <c r="AP354" s="387">
        <v>0</v>
      </c>
      <c r="AQ354" s="387">
        <v>0</v>
      </c>
      <c r="AR354" s="387">
        <v>0</v>
      </c>
      <c r="AS354" s="387">
        <v>0</v>
      </c>
      <c r="AT354" s="387">
        <v>0</v>
      </c>
      <c r="AU354" s="387">
        <v>0</v>
      </c>
      <c r="AV354" s="387">
        <v>0</v>
      </c>
      <c r="AW354" s="387">
        <v>0</v>
      </c>
      <c r="AX354" s="387">
        <v>0</v>
      </c>
      <c r="AY354" s="387">
        <v>0</v>
      </c>
      <c r="AZ354" s="387">
        <v>0</v>
      </c>
      <c r="BA354" s="387">
        <v>0</v>
      </c>
      <c r="BB354" s="387">
        <v>0</v>
      </c>
      <c r="BC354" s="363">
        <v>0</v>
      </c>
      <c r="BD354" s="363">
        <v>0</v>
      </c>
      <c r="BE354" s="363">
        <v>0</v>
      </c>
      <c r="BF354" s="363">
        <v>0</v>
      </c>
      <c r="BG354" s="363">
        <v>0</v>
      </c>
      <c r="BH354" s="363">
        <v>0</v>
      </c>
      <c r="BI354" s="363">
        <v>0</v>
      </c>
      <c r="BJ354" s="363">
        <v>0</v>
      </c>
      <c r="BK354" s="363">
        <v>0</v>
      </c>
      <c r="BL354" s="363">
        <v>0</v>
      </c>
      <c r="BM354" s="363">
        <v>0</v>
      </c>
      <c r="BN354" s="363">
        <v>0</v>
      </c>
      <c r="BO354" s="363">
        <v>0</v>
      </c>
      <c r="BP354" s="363">
        <v>0</v>
      </c>
      <c r="BQ354" s="363">
        <v>0</v>
      </c>
      <c r="BR354" s="363">
        <v>0</v>
      </c>
      <c r="BS354" s="363">
        <v>0</v>
      </c>
      <c r="BT354" s="363">
        <v>0</v>
      </c>
      <c r="BU354" s="363">
        <v>0</v>
      </c>
      <c r="BV354" s="363">
        <v>0</v>
      </c>
      <c r="BW354" s="363">
        <v>0</v>
      </c>
      <c r="BX354" s="363">
        <v>0</v>
      </c>
      <c r="BY354" s="363">
        <v>0</v>
      </c>
      <c r="BZ354" s="363">
        <v>0</v>
      </c>
      <c r="CA354" s="363">
        <v>0</v>
      </c>
      <c r="CB354" s="363">
        <v>0</v>
      </c>
      <c r="CC354" s="363">
        <v>0</v>
      </c>
      <c r="CD354" s="363">
        <v>0</v>
      </c>
      <c r="CE354" s="363">
        <v>0</v>
      </c>
      <c r="CF354" s="363">
        <v>0</v>
      </c>
      <c r="CG354" s="363">
        <v>0</v>
      </c>
      <c r="CH354" s="363">
        <v>0</v>
      </c>
      <c r="CI354" s="363">
        <v>0</v>
      </c>
      <c r="CJ354" s="363">
        <v>0</v>
      </c>
      <c r="CK354" s="363">
        <v>0</v>
      </c>
      <c r="CL354" s="363">
        <v>0</v>
      </c>
      <c r="CM354" s="363">
        <v>0</v>
      </c>
      <c r="CN354" s="363">
        <v>0</v>
      </c>
      <c r="CO354" s="363">
        <v>0</v>
      </c>
      <c r="CP354" s="363">
        <v>0</v>
      </c>
      <c r="CQ354" s="363">
        <v>0</v>
      </c>
      <c r="CR354" s="363">
        <v>0</v>
      </c>
      <c r="CS354" s="363">
        <v>0</v>
      </c>
      <c r="CT354" s="363">
        <v>0</v>
      </c>
      <c r="CU354" s="363">
        <v>0</v>
      </c>
      <c r="CV354" s="363">
        <v>0</v>
      </c>
      <c r="CW354" s="363">
        <v>0</v>
      </c>
      <c r="CX354" s="363">
        <v>0</v>
      </c>
      <c r="CY354" s="363">
        <v>0</v>
      </c>
      <c r="CZ354" s="363">
        <v>0</v>
      </c>
      <c r="DA354" s="363">
        <v>0</v>
      </c>
      <c r="DB354" s="363">
        <v>0</v>
      </c>
      <c r="DC354" s="363">
        <v>0</v>
      </c>
      <c r="DD354" s="363">
        <v>0</v>
      </c>
      <c r="DE354" s="363">
        <v>0</v>
      </c>
      <c r="DF354" s="363">
        <v>0</v>
      </c>
      <c r="DG354" s="363">
        <v>0</v>
      </c>
      <c r="DH354" s="363">
        <v>0</v>
      </c>
      <c r="DI354" s="363">
        <v>0</v>
      </c>
      <c r="DJ354" s="363">
        <v>0</v>
      </c>
      <c r="DK354" s="363">
        <v>0</v>
      </c>
      <c r="DL354" s="363">
        <v>0</v>
      </c>
      <c r="DM354" s="363">
        <v>0</v>
      </c>
      <c r="DN354" s="363">
        <v>0</v>
      </c>
      <c r="DO354" s="363">
        <v>0</v>
      </c>
      <c r="DP354" s="363">
        <v>0</v>
      </c>
      <c r="DQ354" s="363">
        <v>0</v>
      </c>
      <c r="DR354" s="387">
        <v>0</v>
      </c>
      <c r="DS354" s="387">
        <v>0</v>
      </c>
      <c r="DT354" s="387">
        <v>0</v>
      </c>
      <c r="DU354" s="387">
        <v>0</v>
      </c>
      <c r="DV354" s="387">
        <v>0</v>
      </c>
      <c r="DW354" s="545">
        <f t="shared" si="38"/>
        <v>0</v>
      </c>
      <c r="DX354" s="858"/>
      <c r="DY354" s="706"/>
      <c r="DZ354" s="872"/>
      <c r="EA354" s="873"/>
      <c r="EB354" s="859"/>
      <c r="EC354" s="859"/>
      <c r="ED354" s="859"/>
      <c r="EE354" s="859"/>
      <c r="EF354" s="861"/>
      <c r="EG354" s="1107"/>
      <c r="EI354" s="858"/>
      <c r="EJ354" s="877"/>
      <c r="ER354" s="497"/>
    </row>
    <row r="355" spans="1:148" s="278" customFormat="1" ht="24" outlineLevel="2" x14ac:dyDescent="0.2">
      <c r="A355" s="924"/>
      <c r="B355" s="885" t="s">
        <v>177</v>
      </c>
      <c r="C355" s="911">
        <v>5</v>
      </c>
      <c r="D355" s="863">
        <f>+IFERROR(VLOOKUP(B355,'Detalle Plan de Adquisiciones'!$G$95:$L$153,6,FALSE),0)</f>
        <v>0</v>
      </c>
      <c r="E355" s="889" t="str">
        <f>+'Detalle Plan de Adquisiciones'!F147</f>
        <v>INTERVENTORÍA TÉCNICA, ADMINISTRATIVA, FINANCIERA Y AMBIENTAL AL CONTRATO CUYO OBJETO ES: PARADERO CON ESPACIO PUBLICO 02 AV. CIRCUNV. X C 29</v>
      </c>
      <c r="F355" s="316" t="s">
        <v>410</v>
      </c>
      <c r="G355" s="383">
        <v>0</v>
      </c>
      <c r="H355" s="383">
        <v>0</v>
      </c>
      <c r="I355" s="383">
        <v>0</v>
      </c>
      <c r="J355" s="383">
        <v>0</v>
      </c>
      <c r="K355" s="383">
        <v>0</v>
      </c>
      <c r="L355" s="383">
        <v>0</v>
      </c>
      <c r="M355" s="383">
        <v>0</v>
      </c>
      <c r="N355" s="383">
        <v>0</v>
      </c>
      <c r="O355" s="383">
        <v>0</v>
      </c>
      <c r="P355" s="383">
        <v>0</v>
      </c>
      <c r="Q355" s="383">
        <v>0</v>
      </c>
      <c r="R355" s="383">
        <v>0</v>
      </c>
      <c r="S355" s="383">
        <v>0</v>
      </c>
      <c r="T355" s="383">
        <v>0</v>
      </c>
      <c r="U355" s="383">
        <v>0</v>
      </c>
      <c r="V355" s="383">
        <v>0</v>
      </c>
      <c r="W355" s="383">
        <v>0</v>
      </c>
      <c r="X355" s="383">
        <v>0</v>
      </c>
      <c r="Y355" s="383">
        <v>0</v>
      </c>
      <c r="Z355" s="383">
        <v>0</v>
      </c>
      <c r="AA355" s="383">
        <v>0</v>
      </c>
      <c r="AB355" s="383">
        <v>0</v>
      </c>
      <c r="AC355" s="383">
        <v>0</v>
      </c>
      <c r="AD355" s="383">
        <v>0</v>
      </c>
      <c r="AE355" s="383">
        <v>0</v>
      </c>
      <c r="AF355" s="383">
        <v>0</v>
      </c>
      <c r="AG355" s="383">
        <v>0</v>
      </c>
      <c r="AH355" s="383">
        <v>0</v>
      </c>
      <c r="AI355" s="383">
        <v>0</v>
      </c>
      <c r="AJ355" s="383">
        <v>0</v>
      </c>
      <c r="AK355" s="383">
        <v>0</v>
      </c>
      <c r="AL355" s="383">
        <v>0</v>
      </c>
      <c r="AM355" s="383">
        <v>0</v>
      </c>
      <c r="AN355" s="383">
        <v>0</v>
      </c>
      <c r="AO355" s="383">
        <v>0</v>
      </c>
      <c r="AP355" s="383">
        <v>0</v>
      </c>
      <c r="AQ355" s="383">
        <v>0</v>
      </c>
      <c r="AR355" s="383">
        <v>0</v>
      </c>
      <c r="AS355" s="383">
        <v>0</v>
      </c>
      <c r="AT355" s="383">
        <v>0</v>
      </c>
      <c r="AU355" s="383">
        <v>0</v>
      </c>
      <c r="AV355" s="383">
        <v>0</v>
      </c>
      <c r="AW355" s="383">
        <v>0</v>
      </c>
      <c r="AX355" s="383">
        <v>0</v>
      </c>
      <c r="AY355" s="383">
        <v>0</v>
      </c>
      <c r="AZ355" s="383">
        <v>0</v>
      </c>
      <c r="BA355" s="383">
        <v>0</v>
      </c>
      <c r="BB355" s="383">
        <v>0</v>
      </c>
      <c r="BC355" s="363">
        <v>0</v>
      </c>
      <c r="BD355" s="363">
        <v>0</v>
      </c>
      <c r="BE355" s="363">
        <v>0</v>
      </c>
      <c r="BF355" s="363">
        <v>0</v>
      </c>
      <c r="BG355" s="363">
        <v>0</v>
      </c>
      <c r="BH355" s="363">
        <v>0</v>
      </c>
      <c r="BI355" s="363">
        <v>0</v>
      </c>
      <c r="BJ355" s="363">
        <v>0</v>
      </c>
      <c r="BK355" s="363">
        <v>0</v>
      </c>
      <c r="BL355" s="363">
        <v>0</v>
      </c>
      <c r="BM355" s="363">
        <v>0</v>
      </c>
      <c r="BN355" s="363">
        <v>0</v>
      </c>
      <c r="BO355" s="363">
        <v>0</v>
      </c>
      <c r="BP355" s="363">
        <v>0</v>
      </c>
      <c r="BQ355" s="363">
        <v>0</v>
      </c>
      <c r="BR355" s="363">
        <v>0</v>
      </c>
      <c r="BS355" s="363">
        <v>0</v>
      </c>
      <c r="BT355" s="363">
        <v>0</v>
      </c>
      <c r="BU355" s="363">
        <v>0</v>
      </c>
      <c r="BV355" s="363">
        <v>0</v>
      </c>
      <c r="BW355" s="363">
        <v>0</v>
      </c>
      <c r="BX355" s="363">
        <v>0</v>
      </c>
      <c r="BY355" s="363">
        <v>0</v>
      </c>
      <c r="BZ355" s="363">
        <v>0</v>
      </c>
      <c r="CA355" s="363">
        <v>0</v>
      </c>
      <c r="CB355" s="363">
        <v>0</v>
      </c>
      <c r="CC355" s="363">
        <v>0</v>
      </c>
      <c r="CD355" s="363">
        <v>0</v>
      </c>
      <c r="CE355" s="363">
        <v>0</v>
      </c>
      <c r="CF355" s="363">
        <v>0</v>
      </c>
      <c r="CG355" s="363">
        <v>0</v>
      </c>
      <c r="CH355" s="363">
        <v>0</v>
      </c>
      <c r="CI355" s="363">
        <v>0</v>
      </c>
      <c r="CJ355" s="363">
        <v>0</v>
      </c>
      <c r="CK355" s="363">
        <v>0</v>
      </c>
      <c r="CL355" s="363">
        <v>0</v>
      </c>
      <c r="CM355" s="363">
        <v>0</v>
      </c>
      <c r="CN355" s="363">
        <v>0</v>
      </c>
      <c r="CO355" s="363">
        <v>0</v>
      </c>
      <c r="CP355" s="363">
        <v>0</v>
      </c>
      <c r="CQ355" s="363">
        <v>0</v>
      </c>
      <c r="CR355" s="363">
        <v>0</v>
      </c>
      <c r="CS355" s="363">
        <v>0</v>
      </c>
      <c r="CT355" s="363">
        <v>0</v>
      </c>
      <c r="CU355" s="363">
        <v>0</v>
      </c>
      <c r="CV355" s="363">
        <v>0</v>
      </c>
      <c r="CW355" s="363">
        <v>0</v>
      </c>
      <c r="CX355" s="363">
        <v>0</v>
      </c>
      <c r="CY355" s="363">
        <v>0</v>
      </c>
      <c r="CZ355" s="363">
        <v>0</v>
      </c>
      <c r="DA355" s="363">
        <v>0</v>
      </c>
      <c r="DB355" s="363">
        <v>0</v>
      </c>
      <c r="DC355" s="363">
        <v>0</v>
      </c>
      <c r="DD355" s="363">
        <v>0</v>
      </c>
      <c r="DE355" s="363">
        <v>0</v>
      </c>
      <c r="DF355" s="363">
        <v>0</v>
      </c>
      <c r="DG355" s="363">
        <v>0</v>
      </c>
      <c r="DH355" s="363">
        <v>0</v>
      </c>
      <c r="DI355" s="363">
        <v>0</v>
      </c>
      <c r="DJ355" s="363">
        <v>0</v>
      </c>
      <c r="DK355" s="363">
        <v>0</v>
      </c>
      <c r="DL355" s="363">
        <v>0</v>
      </c>
      <c r="DM355" s="363">
        <v>0</v>
      </c>
      <c r="DN355" s="363">
        <v>0</v>
      </c>
      <c r="DO355" s="363">
        <v>0</v>
      </c>
      <c r="DP355" s="363">
        <v>0</v>
      </c>
      <c r="DQ355" s="363">
        <v>0</v>
      </c>
      <c r="DR355" s="383">
        <v>0</v>
      </c>
      <c r="DS355" s="383">
        <v>0</v>
      </c>
      <c r="DT355" s="383">
        <v>0</v>
      </c>
      <c r="DU355" s="383">
        <v>0</v>
      </c>
      <c r="DV355" s="383">
        <v>0</v>
      </c>
      <c r="DW355" s="543">
        <f t="shared" si="38"/>
        <v>0</v>
      </c>
      <c r="DX355" s="858">
        <f>DW355+DW356+DW357</f>
        <v>0</v>
      </c>
      <c r="DY355" s="704">
        <f>+DX355*1000000</f>
        <v>0</v>
      </c>
      <c r="DZ355" s="870">
        <f>+DY355-D355</f>
        <v>0</v>
      </c>
      <c r="EA355" s="873">
        <f>VLOOKUP(POA!$B355,INTERPLAN,28,0)</f>
        <v>41188</v>
      </c>
      <c r="EB355" s="859">
        <f>+EDATE(EA355,C355)</f>
        <v>41339</v>
      </c>
      <c r="EC355" s="859">
        <f>EB355+30</f>
        <v>41369</v>
      </c>
      <c r="ED355" s="859" t="str">
        <f>CONCATENATE(MONTH(EA355),"-",YEAR(EA355))</f>
        <v>10-2012</v>
      </c>
      <c r="EE355" s="859" t="str">
        <f>CONCATENATE(MONTH(EB355),"-",YEAR(EB355))</f>
        <v>3-2013</v>
      </c>
      <c r="EF355" s="861" t="str">
        <f>CONCATENATE(MONTH(EC355),"-",YEAR(EC355))</f>
        <v>4-2013</v>
      </c>
      <c r="EG355" s="1105"/>
      <c r="EI355" s="858">
        <f>+DW355+DW356+DW357</f>
        <v>0</v>
      </c>
      <c r="EJ355" s="877">
        <f>+D355/1000000-EI355</f>
        <v>0</v>
      </c>
      <c r="ER355" s="497"/>
    </row>
    <row r="356" spans="1:148" s="278" customFormat="1" outlineLevel="2" x14ac:dyDescent="0.2">
      <c r="A356" s="893"/>
      <c r="B356" s="886"/>
      <c r="C356" s="903"/>
      <c r="D356" s="864"/>
      <c r="E356" s="867"/>
      <c r="F356" s="311" t="s">
        <v>210</v>
      </c>
      <c r="G356" s="363">
        <v>0</v>
      </c>
      <c r="H356" s="363">
        <v>0</v>
      </c>
      <c r="I356" s="363">
        <v>0</v>
      </c>
      <c r="J356" s="363">
        <v>0</v>
      </c>
      <c r="K356" s="363">
        <v>0</v>
      </c>
      <c r="L356" s="363">
        <v>0</v>
      </c>
      <c r="M356" s="363">
        <v>0</v>
      </c>
      <c r="N356" s="363">
        <v>0</v>
      </c>
      <c r="O356" s="363">
        <v>0</v>
      </c>
      <c r="P356" s="363">
        <v>0</v>
      </c>
      <c r="Q356" s="363">
        <v>0</v>
      </c>
      <c r="R356" s="363">
        <v>0</v>
      </c>
      <c r="S356" s="363">
        <v>0</v>
      </c>
      <c r="T356" s="363">
        <v>0</v>
      </c>
      <c r="U356" s="363">
        <v>0</v>
      </c>
      <c r="V356" s="363">
        <v>0</v>
      </c>
      <c r="W356" s="363">
        <v>0</v>
      </c>
      <c r="X356" s="363">
        <v>0</v>
      </c>
      <c r="Y356" s="363">
        <v>0</v>
      </c>
      <c r="Z356" s="363">
        <v>0</v>
      </c>
      <c r="AA356" s="363">
        <v>0</v>
      </c>
      <c r="AB356" s="363">
        <v>0</v>
      </c>
      <c r="AC356" s="363">
        <v>0</v>
      </c>
      <c r="AD356" s="363">
        <v>0</v>
      </c>
      <c r="AE356" s="363">
        <v>0</v>
      </c>
      <c r="AF356" s="363">
        <v>0</v>
      </c>
      <c r="AG356" s="363">
        <v>0</v>
      </c>
      <c r="AH356" s="363">
        <v>0</v>
      </c>
      <c r="AI356" s="363">
        <v>0</v>
      </c>
      <c r="AJ356" s="363">
        <v>0</v>
      </c>
      <c r="AK356" s="363">
        <v>0</v>
      </c>
      <c r="AL356" s="363">
        <v>0</v>
      </c>
      <c r="AM356" s="363">
        <v>0</v>
      </c>
      <c r="AN356" s="363">
        <v>0</v>
      </c>
      <c r="AO356" s="363">
        <v>0</v>
      </c>
      <c r="AP356" s="363">
        <v>0</v>
      </c>
      <c r="AQ356" s="363">
        <v>0</v>
      </c>
      <c r="AR356" s="363">
        <v>0</v>
      </c>
      <c r="AS356" s="363">
        <v>0</v>
      </c>
      <c r="AT356" s="363">
        <v>0</v>
      </c>
      <c r="AU356" s="363">
        <v>0</v>
      </c>
      <c r="AV356" s="363">
        <v>0</v>
      </c>
      <c r="AW356" s="363">
        <v>0</v>
      </c>
      <c r="AX356" s="363">
        <v>0</v>
      </c>
      <c r="AY356" s="363">
        <v>0</v>
      </c>
      <c r="AZ356" s="363">
        <v>0</v>
      </c>
      <c r="BA356" s="363">
        <v>0</v>
      </c>
      <c r="BB356" s="363">
        <v>0</v>
      </c>
      <c r="BC356" s="363">
        <v>0</v>
      </c>
      <c r="BD356" s="363">
        <v>0</v>
      </c>
      <c r="BE356" s="363">
        <v>0</v>
      </c>
      <c r="BF356" s="363">
        <v>0</v>
      </c>
      <c r="BG356" s="363">
        <v>0</v>
      </c>
      <c r="BH356" s="363">
        <v>0</v>
      </c>
      <c r="BI356" s="363">
        <v>0</v>
      </c>
      <c r="BJ356" s="363">
        <v>0</v>
      </c>
      <c r="BK356" s="363">
        <v>0</v>
      </c>
      <c r="BL356" s="363">
        <v>0</v>
      </c>
      <c r="BM356" s="363">
        <v>0</v>
      </c>
      <c r="BN356" s="363">
        <v>0</v>
      </c>
      <c r="BO356" s="363">
        <v>0</v>
      </c>
      <c r="BP356" s="363">
        <v>0</v>
      </c>
      <c r="BQ356" s="363">
        <v>0</v>
      </c>
      <c r="BR356" s="363">
        <v>0</v>
      </c>
      <c r="BS356" s="363">
        <v>0</v>
      </c>
      <c r="BT356" s="363">
        <v>0</v>
      </c>
      <c r="BU356" s="363">
        <v>0</v>
      </c>
      <c r="BV356" s="363">
        <v>0</v>
      </c>
      <c r="BW356" s="363">
        <v>0</v>
      </c>
      <c r="BX356" s="363">
        <v>0</v>
      </c>
      <c r="BY356" s="363">
        <v>0</v>
      </c>
      <c r="BZ356" s="363">
        <v>0</v>
      </c>
      <c r="CA356" s="363">
        <v>0</v>
      </c>
      <c r="CB356" s="363">
        <v>0</v>
      </c>
      <c r="CC356" s="363">
        <v>0</v>
      </c>
      <c r="CD356" s="363">
        <v>0</v>
      </c>
      <c r="CE356" s="363">
        <v>0</v>
      </c>
      <c r="CF356" s="363">
        <v>0</v>
      </c>
      <c r="CG356" s="363">
        <v>0</v>
      </c>
      <c r="CH356" s="363">
        <v>0</v>
      </c>
      <c r="CI356" s="363">
        <v>0</v>
      </c>
      <c r="CJ356" s="363">
        <v>0</v>
      </c>
      <c r="CK356" s="363">
        <v>0</v>
      </c>
      <c r="CL356" s="363">
        <v>0</v>
      </c>
      <c r="CM356" s="363">
        <v>0</v>
      </c>
      <c r="CN356" s="363">
        <v>0</v>
      </c>
      <c r="CO356" s="363">
        <v>0</v>
      </c>
      <c r="CP356" s="363">
        <v>0</v>
      </c>
      <c r="CQ356" s="363">
        <v>0</v>
      </c>
      <c r="CR356" s="363">
        <v>0</v>
      </c>
      <c r="CS356" s="363">
        <v>0</v>
      </c>
      <c r="CT356" s="363">
        <v>0</v>
      </c>
      <c r="CU356" s="363">
        <v>0</v>
      </c>
      <c r="CV356" s="363">
        <v>0</v>
      </c>
      <c r="CW356" s="363">
        <v>0</v>
      </c>
      <c r="CX356" s="363">
        <v>0</v>
      </c>
      <c r="CY356" s="363">
        <v>0</v>
      </c>
      <c r="CZ356" s="363">
        <v>0</v>
      </c>
      <c r="DA356" s="363">
        <v>0</v>
      </c>
      <c r="DB356" s="363">
        <v>0</v>
      </c>
      <c r="DC356" s="363">
        <v>0</v>
      </c>
      <c r="DD356" s="363">
        <v>0</v>
      </c>
      <c r="DE356" s="363">
        <v>0</v>
      </c>
      <c r="DF356" s="363">
        <v>0</v>
      </c>
      <c r="DG356" s="363">
        <v>0</v>
      </c>
      <c r="DH356" s="363">
        <v>0</v>
      </c>
      <c r="DI356" s="363">
        <v>0</v>
      </c>
      <c r="DJ356" s="363">
        <v>0</v>
      </c>
      <c r="DK356" s="363">
        <v>0</v>
      </c>
      <c r="DL356" s="363">
        <v>0</v>
      </c>
      <c r="DM356" s="363">
        <v>0</v>
      </c>
      <c r="DN356" s="363">
        <v>0</v>
      </c>
      <c r="DO356" s="363">
        <v>0</v>
      </c>
      <c r="DP356" s="363">
        <v>0</v>
      </c>
      <c r="DQ356" s="363">
        <v>0</v>
      </c>
      <c r="DR356" s="363">
        <v>0</v>
      </c>
      <c r="DS356" s="363">
        <v>0</v>
      </c>
      <c r="DT356" s="363">
        <v>0</v>
      </c>
      <c r="DU356" s="363">
        <v>0</v>
      </c>
      <c r="DV356" s="363">
        <v>0</v>
      </c>
      <c r="DW356" s="544">
        <f t="shared" si="38"/>
        <v>0</v>
      </c>
      <c r="DX356" s="858"/>
      <c r="DY356" s="705"/>
      <c r="DZ356" s="871"/>
      <c r="EA356" s="873"/>
      <c r="EB356" s="859"/>
      <c r="EC356" s="859"/>
      <c r="ED356" s="859"/>
      <c r="EE356" s="859"/>
      <c r="EF356" s="861"/>
      <c r="EG356" s="1106"/>
      <c r="EI356" s="858"/>
      <c r="EJ356" s="877"/>
      <c r="ER356" s="497"/>
    </row>
    <row r="357" spans="1:148" s="278" customFormat="1" ht="12.75" outlineLevel="2" thickBot="1" x14ac:dyDescent="0.25">
      <c r="A357" s="894"/>
      <c r="B357" s="887"/>
      <c r="C357" s="904"/>
      <c r="D357" s="865"/>
      <c r="E357" s="868"/>
      <c r="F357" s="315" t="s">
        <v>211</v>
      </c>
      <c r="G357" s="364">
        <v>0</v>
      </c>
      <c r="H357" s="364">
        <v>0</v>
      </c>
      <c r="I357" s="364">
        <v>0</v>
      </c>
      <c r="J357" s="364">
        <v>0</v>
      </c>
      <c r="K357" s="364">
        <v>0</v>
      </c>
      <c r="L357" s="364">
        <v>0</v>
      </c>
      <c r="M357" s="364">
        <v>0</v>
      </c>
      <c r="N357" s="364">
        <v>0</v>
      </c>
      <c r="O357" s="364">
        <v>0</v>
      </c>
      <c r="P357" s="364">
        <v>0</v>
      </c>
      <c r="Q357" s="364">
        <v>0</v>
      </c>
      <c r="R357" s="364">
        <v>0</v>
      </c>
      <c r="S357" s="364">
        <v>0</v>
      </c>
      <c r="T357" s="364">
        <v>0</v>
      </c>
      <c r="U357" s="364">
        <v>0</v>
      </c>
      <c r="V357" s="364">
        <v>0</v>
      </c>
      <c r="W357" s="364">
        <v>0</v>
      </c>
      <c r="X357" s="364">
        <v>0</v>
      </c>
      <c r="Y357" s="364">
        <v>0</v>
      </c>
      <c r="Z357" s="364">
        <v>0</v>
      </c>
      <c r="AA357" s="364">
        <v>0</v>
      </c>
      <c r="AB357" s="364">
        <v>0</v>
      </c>
      <c r="AC357" s="364">
        <v>0</v>
      </c>
      <c r="AD357" s="364">
        <v>0</v>
      </c>
      <c r="AE357" s="364">
        <v>0</v>
      </c>
      <c r="AF357" s="364">
        <v>0</v>
      </c>
      <c r="AG357" s="364">
        <v>0</v>
      </c>
      <c r="AH357" s="364">
        <v>0</v>
      </c>
      <c r="AI357" s="364">
        <v>0</v>
      </c>
      <c r="AJ357" s="364">
        <v>0</v>
      </c>
      <c r="AK357" s="364">
        <v>0</v>
      </c>
      <c r="AL357" s="364">
        <v>0</v>
      </c>
      <c r="AM357" s="364">
        <v>0</v>
      </c>
      <c r="AN357" s="364">
        <v>0</v>
      </c>
      <c r="AO357" s="364">
        <v>0</v>
      </c>
      <c r="AP357" s="364">
        <v>0</v>
      </c>
      <c r="AQ357" s="364">
        <v>0</v>
      </c>
      <c r="AR357" s="364">
        <v>0</v>
      </c>
      <c r="AS357" s="364">
        <v>0</v>
      </c>
      <c r="AT357" s="364">
        <v>0</v>
      </c>
      <c r="AU357" s="364">
        <v>0</v>
      </c>
      <c r="AV357" s="364">
        <v>0</v>
      </c>
      <c r="AW357" s="364">
        <v>0</v>
      </c>
      <c r="AX357" s="364">
        <v>0</v>
      </c>
      <c r="AY357" s="364">
        <v>0</v>
      </c>
      <c r="AZ357" s="364">
        <v>0</v>
      </c>
      <c r="BA357" s="364">
        <v>0</v>
      </c>
      <c r="BB357" s="364">
        <v>0</v>
      </c>
      <c r="BC357" s="363">
        <v>0</v>
      </c>
      <c r="BD357" s="363">
        <v>0</v>
      </c>
      <c r="BE357" s="363">
        <v>0</v>
      </c>
      <c r="BF357" s="363">
        <v>0</v>
      </c>
      <c r="BG357" s="363">
        <v>0</v>
      </c>
      <c r="BH357" s="363">
        <v>0</v>
      </c>
      <c r="BI357" s="363">
        <v>0</v>
      </c>
      <c r="BJ357" s="363">
        <v>0</v>
      </c>
      <c r="BK357" s="363">
        <v>0</v>
      </c>
      <c r="BL357" s="363">
        <v>0</v>
      </c>
      <c r="BM357" s="363">
        <v>0</v>
      </c>
      <c r="BN357" s="363">
        <v>0</v>
      </c>
      <c r="BO357" s="363">
        <v>0</v>
      </c>
      <c r="BP357" s="363">
        <v>0</v>
      </c>
      <c r="BQ357" s="363">
        <v>0</v>
      </c>
      <c r="BR357" s="363">
        <v>0</v>
      </c>
      <c r="BS357" s="363">
        <v>0</v>
      </c>
      <c r="BT357" s="363">
        <v>0</v>
      </c>
      <c r="BU357" s="363">
        <v>0</v>
      </c>
      <c r="BV357" s="363">
        <v>0</v>
      </c>
      <c r="BW357" s="363">
        <v>0</v>
      </c>
      <c r="BX357" s="363">
        <v>0</v>
      </c>
      <c r="BY357" s="363">
        <v>0</v>
      </c>
      <c r="BZ357" s="363">
        <v>0</v>
      </c>
      <c r="CA357" s="363">
        <v>0</v>
      </c>
      <c r="CB357" s="363">
        <v>0</v>
      </c>
      <c r="CC357" s="363">
        <v>0</v>
      </c>
      <c r="CD357" s="363">
        <v>0</v>
      </c>
      <c r="CE357" s="363">
        <v>0</v>
      </c>
      <c r="CF357" s="363">
        <v>0</v>
      </c>
      <c r="CG357" s="363">
        <v>0</v>
      </c>
      <c r="CH357" s="363">
        <v>0</v>
      </c>
      <c r="CI357" s="363">
        <v>0</v>
      </c>
      <c r="CJ357" s="363">
        <v>0</v>
      </c>
      <c r="CK357" s="363">
        <v>0</v>
      </c>
      <c r="CL357" s="363">
        <v>0</v>
      </c>
      <c r="CM357" s="363">
        <v>0</v>
      </c>
      <c r="CN357" s="363">
        <v>0</v>
      </c>
      <c r="CO357" s="363">
        <v>0</v>
      </c>
      <c r="CP357" s="363">
        <v>0</v>
      </c>
      <c r="CQ357" s="363">
        <v>0</v>
      </c>
      <c r="CR357" s="363">
        <v>0</v>
      </c>
      <c r="CS357" s="363">
        <v>0</v>
      </c>
      <c r="CT357" s="363">
        <v>0</v>
      </c>
      <c r="CU357" s="363">
        <v>0</v>
      </c>
      <c r="CV357" s="363">
        <v>0</v>
      </c>
      <c r="CW357" s="363">
        <v>0</v>
      </c>
      <c r="CX357" s="363">
        <v>0</v>
      </c>
      <c r="CY357" s="363">
        <v>0</v>
      </c>
      <c r="CZ357" s="363">
        <v>0</v>
      </c>
      <c r="DA357" s="363">
        <v>0</v>
      </c>
      <c r="DB357" s="363">
        <v>0</v>
      </c>
      <c r="DC357" s="363">
        <v>0</v>
      </c>
      <c r="DD357" s="363">
        <v>0</v>
      </c>
      <c r="DE357" s="363">
        <v>0</v>
      </c>
      <c r="DF357" s="363">
        <v>0</v>
      </c>
      <c r="DG357" s="363">
        <v>0</v>
      </c>
      <c r="DH357" s="363">
        <v>0</v>
      </c>
      <c r="DI357" s="363">
        <v>0</v>
      </c>
      <c r="DJ357" s="363">
        <v>0</v>
      </c>
      <c r="DK357" s="363">
        <v>0</v>
      </c>
      <c r="DL357" s="363">
        <v>0</v>
      </c>
      <c r="DM357" s="363">
        <v>0</v>
      </c>
      <c r="DN357" s="363">
        <v>0</v>
      </c>
      <c r="DO357" s="363">
        <v>0</v>
      </c>
      <c r="DP357" s="363">
        <v>0</v>
      </c>
      <c r="DQ357" s="363">
        <v>0</v>
      </c>
      <c r="DR357" s="364">
        <v>0</v>
      </c>
      <c r="DS357" s="364">
        <v>0</v>
      </c>
      <c r="DT357" s="364">
        <v>0</v>
      </c>
      <c r="DU357" s="364">
        <v>0</v>
      </c>
      <c r="DV357" s="364">
        <v>0</v>
      </c>
      <c r="DW357" s="545">
        <f t="shared" si="38"/>
        <v>0</v>
      </c>
      <c r="DX357" s="858"/>
      <c r="DY357" s="706"/>
      <c r="DZ357" s="872"/>
      <c r="EA357" s="873"/>
      <c r="EB357" s="859"/>
      <c r="EC357" s="859"/>
      <c r="ED357" s="859"/>
      <c r="EE357" s="859"/>
      <c r="EF357" s="861"/>
      <c r="EG357" s="1107"/>
      <c r="EI357" s="858"/>
      <c r="EJ357" s="877"/>
      <c r="ER357" s="497"/>
    </row>
    <row r="358" spans="1:148" s="278" customFormat="1" ht="24" outlineLevel="2" x14ac:dyDescent="0.2">
      <c r="A358" s="892"/>
      <c r="B358" s="897" t="s">
        <v>178</v>
      </c>
      <c r="C358" s="902">
        <v>5</v>
      </c>
      <c r="D358" s="863">
        <f>+IFERROR(VLOOKUP(B358,'Detalle Plan de Adquisiciones'!$G$95:$L$153,6,FALSE),0)</f>
        <v>0</v>
      </c>
      <c r="E358" s="866" t="str">
        <f>+'Detalle Plan de Adquisiciones'!F148</f>
        <v>INTERVENTORÍA TÉCNICA, ADMINISTRATIVA, FINANCIERA Y AMBIENTAL AL CONTRATO CUYO OBJETO ES: PARADERO CON ESPACIO PUBLICO 04 AV. CIRCUNV. X K 2</v>
      </c>
      <c r="F358" s="312" t="s">
        <v>410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c r="AE358" s="354">
        <v>0</v>
      </c>
      <c r="AF358" s="354">
        <v>0</v>
      </c>
      <c r="AG358" s="354">
        <v>0</v>
      </c>
      <c r="AH358" s="354">
        <v>0</v>
      </c>
      <c r="AI358" s="354">
        <v>0</v>
      </c>
      <c r="AJ358" s="354">
        <v>0</v>
      </c>
      <c r="AK358" s="354">
        <v>0</v>
      </c>
      <c r="AL358" s="354">
        <v>0</v>
      </c>
      <c r="AM358" s="354">
        <v>0</v>
      </c>
      <c r="AN358" s="354">
        <v>0</v>
      </c>
      <c r="AO358" s="354">
        <v>0</v>
      </c>
      <c r="AP358" s="354">
        <v>0</v>
      </c>
      <c r="AQ358" s="354">
        <v>0</v>
      </c>
      <c r="AR358" s="354">
        <v>0</v>
      </c>
      <c r="AS358" s="354">
        <v>0</v>
      </c>
      <c r="AT358" s="354">
        <v>0</v>
      </c>
      <c r="AU358" s="354">
        <v>0</v>
      </c>
      <c r="AV358" s="354">
        <v>0</v>
      </c>
      <c r="AW358" s="354">
        <v>0</v>
      </c>
      <c r="AX358" s="354">
        <v>0</v>
      </c>
      <c r="AY358" s="354">
        <v>0</v>
      </c>
      <c r="AZ358" s="354">
        <v>0</v>
      </c>
      <c r="BA358" s="354">
        <v>0</v>
      </c>
      <c r="BB358" s="354">
        <v>0</v>
      </c>
      <c r="BC358" s="363">
        <v>0</v>
      </c>
      <c r="BD358" s="363">
        <v>0</v>
      </c>
      <c r="BE358" s="363">
        <v>0</v>
      </c>
      <c r="BF358" s="363">
        <v>0</v>
      </c>
      <c r="BG358" s="363">
        <v>0</v>
      </c>
      <c r="BH358" s="363">
        <v>0</v>
      </c>
      <c r="BI358" s="363">
        <v>0</v>
      </c>
      <c r="BJ358" s="363">
        <v>0</v>
      </c>
      <c r="BK358" s="363">
        <v>0</v>
      </c>
      <c r="BL358" s="363">
        <v>0</v>
      </c>
      <c r="BM358" s="363">
        <v>0</v>
      </c>
      <c r="BN358" s="363">
        <v>0</v>
      </c>
      <c r="BO358" s="363">
        <v>0</v>
      </c>
      <c r="BP358" s="363">
        <v>0</v>
      </c>
      <c r="BQ358" s="363">
        <v>0</v>
      </c>
      <c r="BR358" s="363">
        <v>0</v>
      </c>
      <c r="BS358" s="363">
        <v>0</v>
      </c>
      <c r="BT358" s="363">
        <v>0</v>
      </c>
      <c r="BU358" s="363">
        <v>0</v>
      </c>
      <c r="BV358" s="363">
        <v>0</v>
      </c>
      <c r="BW358" s="363">
        <v>0</v>
      </c>
      <c r="BX358" s="363">
        <v>0</v>
      </c>
      <c r="BY358" s="363">
        <v>0</v>
      </c>
      <c r="BZ358" s="363">
        <v>0</v>
      </c>
      <c r="CA358" s="363">
        <v>0</v>
      </c>
      <c r="CB358" s="363">
        <v>0</v>
      </c>
      <c r="CC358" s="363">
        <v>0</v>
      </c>
      <c r="CD358" s="363">
        <v>0</v>
      </c>
      <c r="CE358" s="363">
        <v>0</v>
      </c>
      <c r="CF358" s="363">
        <v>0</v>
      </c>
      <c r="CG358" s="363">
        <v>0</v>
      </c>
      <c r="CH358" s="363">
        <v>0</v>
      </c>
      <c r="CI358" s="363">
        <v>0</v>
      </c>
      <c r="CJ358" s="363">
        <v>0</v>
      </c>
      <c r="CK358" s="363">
        <v>0</v>
      </c>
      <c r="CL358" s="363">
        <v>0</v>
      </c>
      <c r="CM358" s="363">
        <v>0</v>
      </c>
      <c r="CN358" s="363">
        <v>0</v>
      </c>
      <c r="CO358" s="363">
        <v>0</v>
      </c>
      <c r="CP358" s="363">
        <v>0</v>
      </c>
      <c r="CQ358" s="363">
        <v>0</v>
      </c>
      <c r="CR358" s="363">
        <v>0</v>
      </c>
      <c r="CS358" s="363">
        <v>0</v>
      </c>
      <c r="CT358" s="363">
        <v>0</v>
      </c>
      <c r="CU358" s="363">
        <v>0</v>
      </c>
      <c r="CV358" s="363">
        <v>0</v>
      </c>
      <c r="CW358" s="363">
        <v>0</v>
      </c>
      <c r="CX358" s="363">
        <v>0</v>
      </c>
      <c r="CY358" s="363">
        <v>0</v>
      </c>
      <c r="CZ358" s="363">
        <v>0</v>
      </c>
      <c r="DA358" s="363">
        <v>0</v>
      </c>
      <c r="DB358" s="363">
        <v>0</v>
      </c>
      <c r="DC358" s="363">
        <v>0</v>
      </c>
      <c r="DD358" s="363">
        <v>0</v>
      </c>
      <c r="DE358" s="363">
        <v>0</v>
      </c>
      <c r="DF358" s="363">
        <v>0</v>
      </c>
      <c r="DG358" s="363">
        <v>0</v>
      </c>
      <c r="DH358" s="363">
        <v>0</v>
      </c>
      <c r="DI358" s="363">
        <v>0</v>
      </c>
      <c r="DJ358" s="363">
        <v>0</v>
      </c>
      <c r="DK358" s="363">
        <v>0</v>
      </c>
      <c r="DL358" s="363">
        <v>0</v>
      </c>
      <c r="DM358" s="363">
        <v>0</v>
      </c>
      <c r="DN358" s="363">
        <v>0</v>
      </c>
      <c r="DO358" s="363">
        <v>0</v>
      </c>
      <c r="DP358" s="363">
        <v>0</v>
      </c>
      <c r="DQ358" s="363">
        <v>0</v>
      </c>
      <c r="DR358" s="354">
        <v>0</v>
      </c>
      <c r="DS358" s="354">
        <v>0</v>
      </c>
      <c r="DT358" s="354">
        <v>0</v>
      </c>
      <c r="DU358" s="354">
        <v>0</v>
      </c>
      <c r="DV358" s="354">
        <v>0</v>
      </c>
      <c r="DW358" s="543">
        <f t="shared" si="38"/>
        <v>0</v>
      </c>
      <c r="DX358" s="858">
        <f>DW358+DW359+DW360</f>
        <v>0</v>
      </c>
      <c r="DY358" s="704">
        <f>+DX358*1000000</f>
        <v>0</v>
      </c>
      <c r="DZ358" s="870">
        <f>+DY358-D358</f>
        <v>0</v>
      </c>
      <c r="EA358" s="873" t="str">
        <f>VLOOKUP(POA!$B358,INTERPLAN,28,0)</f>
        <v>N/A</v>
      </c>
      <c r="EB358" s="859" t="e">
        <f>+EDATE(EA358,C358)</f>
        <v>#VALUE!</v>
      </c>
      <c r="EC358" s="859" t="e">
        <f>EB358+30</f>
        <v>#VALUE!</v>
      </c>
      <c r="ED358" s="859" t="e">
        <f>CONCATENATE(MONTH(EA358),"-",YEAR(EA358))</f>
        <v>#VALUE!</v>
      </c>
      <c r="EE358" s="859" t="e">
        <f>CONCATENATE(MONTH(EB358),"-",YEAR(EB358))</f>
        <v>#VALUE!</v>
      </c>
      <c r="EF358" s="861" t="e">
        <f>CONCATENATE(MONTH(EC358),"-",YEAR(EC358))</f>
        <v>#VALUE!</v>
      </c>
      <c r="EG358" s="1105"/>
      <c r="EI358" s="858">
        <f>+DW358+DW359+DW360</f>
        <v>0</v>
      </c>
      <c r="EJ358" s="877">
        <f>+D358/1000000-EI358</f>
        <v>0</v>
      </c>
      <c r="ER358" s="497"/>
    </row>
    <row r="359" spans="1:148" s="278" customFormat="1" outlineLevel="2" x14ac:dyDescent="0.2">
      <c r="A359" s="893"/>
      <c r="B359" s="886"/>
      <c r="C359" s="903"/>
      <c r="D359" s="864"/>
      <c r="E359" s="867"/>
      <c r="F359" s="311" t="s">
        <v>210</v>
      </c>
      <c r="G359" s="363">
        <v>0</v>
      </c>
      <c r="H359" s="363">
        <v>0</v>
      </c>
      <c r="I359" s="363">
        <v>0</v>
      </c>
      <c r="J359" s="363">
        <v>0</v>
      </c>
      <c r="K359" s="363">
        <v>0</v>
      </c>
      <c r="L359" s="363">
        <v>0</v>
      </c>
      <c r="M359" s="363">
        <v>0</v>
      </c>
      <c r="N359" s="363">
        <v>0</v>
      </c>
      <c r="O359" s="363">
        <v>0</v>
      </c>
      <c r="P359" s="363">
        <v>0</v>
      </c>
      <c r="Q359" s="363">
        <v>0</v>
      </c>
      <c r="R359" s="363">
        <v>0</v>
      </c>
      <c r="S359" s="363">
        <v>0</v>
      </c>
      <c r="T359" s="363">
        <v>0</v>
      </c>
      <c r="U359" s="363">
        <v>0</v>
      </c>
      <c r="V359" s="363">
        <v>0</v>
      </c>
      <c r="W359" s="363">
        <v>0</v>
      </c>
      <c r="X359" s="363">
        <v>0</v>
      </c>
      <c r="Y359" s="363">
        <v>0</v>
      </c>
      <c r="Z359" s="363">
        <v>0</v>
      </c>
      <c r="AA359" s="363">
        <v>0</v>
      </c>
      <c r="AB359" s="363">
        <v>0</v>
      </c>
      <c r="AC359" s="363">
        <v>0</v>
      </c>
      <c r="AD359" s="363">
        <v>0</v>
      </c>
      <c r="AE359" s="363">
        <v>0</v>
      </c>
      <c r="AF359" s="363">
        <v>0</v>
      </c>
      <c r="AG359" s="363">
        <v>0</v>
      </c>
      <c r="AH359" s="363">
        <v>0</v>
      </c>
      <c r="AI359" s="363">
        <v>0</v>
      </c>
      <c r="AJ359" s="363">
        <v>0</v>
      </c>
      <c r="AK359" s="363">
        <v>0</v>
      </c>
      <c r="AL359" s="363">
        <v>0</v>
      </c>
      <c r="AM359" s="363">
        <v>0</v>
      </c>
      <c r="AN359" s="363">
        <v>0</v>
      </c>
      <c r="AO359" s="363">
        <v>0</v>
      </c>
      <c r="AP359" s="363">
        <v>0</v>
      </c>
      <c r="AQ359" s="363">
        <v>0</v>
      </c>
      <c r="AR359" s="363">
        <v>0</v>
      </c>
      <c r="AS359" s="363">
        <v>0</v>
      </c>
      <c r="AT359" s="363">
        <v>0</v>
      </c>
      <c r="AU359" s="363">
        <v>0</v>
      </c>
      <c r="AV359" s="363">
        <v>0</v>
      </c>
      <c r="AW359" s="363">
        <v>0</v>
      </c>
      <c r="AX359" s="363">
        <v>0</v>
      </c>
      <c r="AY359" s="363">
        <v>0</v>
      </c>
      <c r="AZ359" s="363">
        <v>0</v>
      </c>
      <c r="BA359" s="363">
        <v>0</v>
      </c>
      <c r="BB359" s="363">
        <v>0</v>
      </c>
      <c r="BC359" s="363">
        <v>0</v>
      </c>
      <c r="BD359" s="363">
        <v>0</v>
      </c>
      <c r="BE359" s="363">
        <v>0</v>
      </c>
      <c r="BF359" s="363">
        <v>0</v>
      </c>
      <c r="BG359" s="363">
        <v>0</v>
      </c>
      <c r="BH359" s="363">
        <v>0</v>
      </c>
      <c r="BI359" s="363">
        <v>0</v>
      </c>
      <c r="BJ359" s="363">
        <v>0</v>
      </c>
      <c r="BK359" s="363">
        <v>0</v>
      </c>
      <c r="BL359" s="363">
        <v>0</v>
      </c>
      <c r="BM359" s="363">
        <v>0</v>
      </c>
      <c r="BN359" s="363">
        <v>0</v>
      </c>
      <c r="BO359" s="363">
        <v>0</v>
      </c>
      <c r="BP359" s="363">
        <v>0</v>
      </c>
      <c r="BQ359" s="363">
        <v>0</v>
      </c>
      <c r="BR359" s="363">
        <v>0</v>
      </c>
      <c r="BS359" s="363">
        <v>0</v>
      </c>
      <c r="BT359" s="363">
        <v>0</v>
      </c>
      <c r="BU359" s="363">
        <v>0</v>
      </c>
      <c r="BV359" s="363">
        <v>0</v>
      </c>
      <c r="BW359" s="363">
        <v>0</v>
      </c>
      <c r="BX359" s="363">
        <v>0</v>
      </c>
      <c r="BY359" s="363">
        <v>0</v>
      </c>
      <c r="BZ359" s="363">
        <v>0</v>
      </c>
      <c r="CA359" s="363">
        <v>0</v>
      </c>
      <c r="CB359" s="363">
        <v>0</v>
      </c>
      <c r="CC359" s="363">
        <v>0</v>
      </c>
      <c r="CD359" s="363">
        <v>0</v>
      </c>
      <c r="CE359" s="363">
        <v>0</v>
      </c>
      <c r="CF359" s="363">
        <v>0</v>
      </c>
      <c r="CG359" s="363">
        <v>0</v>
      </c>
      <c r="CH359" s="363">
        <v>0</v>
      </c>
      <c r="CI359" s="363">
        <v>0</v>
      </c>
      <c r="CJ359" s="363">
        <v>0</v>
      </c>
      <c r="CK359" s="363">
        <v>0</v>
      </c>
      <c r="CL359" s="363">
        <v>0</v>
      </c>
      <c r="CM359" s="363">
        <v>0</v>
      </c>
      <c r="CN359" s="363">
        <v>0</v>
      </c>
      <c r="CO359" s="363">
        <v>0</v>
      </c>
      <c r="CP359" s="363">
        <v>0</v>
      </c>
      <c r="CQ359" s="363">
        <v>0</v>
      </c>
      <c r="CR359" s="363">
        <v>0</v>
      </c>
      <c r="CS359" s="363">
        <v>0</v>
      </c>
      <c r="CT359" s="363">
        <v>0</v>
      </c>
      <c r="CU359" s="363">
        <v>0</v>
      </c>
      <c r="CV359" s="363">
        <v>0</v>
      </c>
      <c r="CW359" s="363">
        <v>0</v>
      </c>
      <c r="CX359" s="363">
        <v>0</v>
      </c>
      <c r="CY359" s="363">
        <v>0</v>
      </c>
      <c r="CZ359" s="363">
        <v>0</v>
      </c>
      <c r="DA359" s="363">
        <v>0</v>
      </c>
      <c r="DB359" s="363">
        <v>0</v>
      </c>
      <c r="DC359" s="363">
        <v>0</v>
      </c>
      <c r="DD359" s="363">
        <v>0</v>
      </c>
      <c r="DE359" s="363">
        <v>0</v>
      </c>
      <c r="DF359" s="363">
        <v>0</v>
      </c>
      <c r="DG359" s="363">
        <v>0</v>
      </c>
      <c r="DH359" s="363">
        <v>0</v>
      </c>
      <c r="DI359" s="363">
        <v>0</v>
      </c>
      <c r="DJ359" s="363">
        <v>0</v>
      </c>
      <c r="DK359" s="363">
        <v>0</v>
      </c>
      <c r="DL359" s="363">
        <v>0</v>
      </c>
      <c r="DM359" s="363">
        <v>0</v>
      </c>
      <c r="DN359" s="363">
        <v>0</v>
      </c>
      <c r="DO359" s="363">
        <v>0</v>
      </c>
      <c r="DP359" s="363">
        <v>0</v>
      </c>
      <c r="DQ359" s="363">
        <v>0</v>
      </c>
      <c r="DR359" s="363">
        <v>0</v>
      </c>
      <c r="DS359" s="363">
        <v>0</v>
      </c>
      <c r="DT359" s="363">
        <v>0</v>
      </c>
      <c r="DU359" s="363">
        <v>0</v>
      </c>
      <c r="DV359" s="363">
        <v>0</v>
      </c>
      <c r="DW359" s="544">
        <f t="shared" si="38"/>
        <v>0</v>
      </c>
      <c r="DX359" s="858"/>
      <c r="DY359" s="705"/>
      <c r="DZ359" s="871"/>
      <c r="EA359" s="873"/>
      <c r="EB359" s="859"/>
      <c r="EC359" s="859"/>
      <c r="ED359" s="859"/>
      <c r="EE359" s="859"/>
      <c r="EF359" s="861"/>
      <c r="EG359" s="1106"/>
      <c r="EI359" s="858"/>
      <c r="EJ359" s="877"/>
      <c r="ER359" s="497"/>
    </row>
    <row r="360" spans="1:148" s="278" customFormat="1" ht="12.75" outlineLevel="2" thickBot="1" x14ac:dyDescent="0.25">
      <c r="A360" s="894"/>
      <c r="B360" s="887"/>
      <c r="C360" s="904"/>
      <c r="D360" s="865"/>
      <c r="E360" s="868"/>
      <c r="F360" s="315" t="s">
        <v>211</v>
      </c>
      <c r="G360" s="364">
        <v>0</v>
      </c>
      <c r="H360" s="364">
        <v>0</v>
      </c>
      <c r="I360" s="364">
        <v>0</v>
      </c>
      <c r="J360" s="364">
        <v>0</v>
      </c>
      <c r="K360" s="364">
        <v>0</v>
      </c>
      <c r="L360" s="364">
        <v>0</v>
      </c>
      <c r="M360" s="364">
        <v>0</v>
      </c>
      <c r="N360" s="364">
        <v>0</v>
      </c>
      <c r="O360" s="364">
        <v>0</v>
      </c>
      <c r="P360" s="364">
        <v>0</v>
      </c>
      <c r="Q360" s="364">
        <v>0</v>
      </c>
      <c r="R360" s="364">
        <v>0</v>
      </c>
      <c r="S360" s="364">
        <v>0</v>
      </c>
      <c r="T360" s="364">
        <v>0</v>
      </c>
      <c r="U360" s="364">
        <v>0</v>
      </c>
      <c r="V360" s="364">
        <v>0</v>
      </c>
      <c r="W360" s="364">
        <v>0</v>
      </c>
      <c r="X360" s="364">
        <v>0</v>
      </c>
      <c r="Y360" s="364">
        <v>0</v>
      </c>
      <c r="Z360" s="364">
        <v>0</v>
      </c>
      <c r="AA360" s="364">
        <v>0</v>
      </c>
      <c r="AB360" s="364">
        <v>0</v>
      </c>
      <c r="AC360" s="364">
        <v>0</v>
      </c>
      <c r="AD360" s="364">
        <v>0</v>
      </c>
      <c r="AE360" s="364">
        <v>0</v>
      </c>
      <c r="AF360" s="364">
        <v>0</v>
      </c>
      <c r="AG360" s="364">
        <v>0</v>
      </c>
      <c r="AH360" s="364">
        <v>0</v>
      </c>
      <c r="AI360" s="364">
        <v>0</v>
      </c>
      <c r="AJ360" s="364">
        <v>0</v>
      </c>
      <c r="AK360" s="364">
        <v>0</v>
      </c>
      <c r="AL360" s="364">
        <v>0</v>
      </c>
      <c r="AM360" s="364">
        <v>0</v>
      </c>
      <c r="AN360" s="364">
        <v>0</v>
      </c>
      <c r="AO360" s="364">
        <v>0</v>
      </c>
      <c r="AP360" s="364">
        <v>0</v>
      </c>
      <c r="AQ360" s="364">
        <v>0</v>
      </c>
      <c r="AR360" s="364">
        <v>0</v>
      </c>
      <c r="AS360" s="364">
        <v>0</v>
      </c>
      <c r="AT360" s="364">
        <v>0</v>
      </c>
      <c r="AU360" s="364">
        <v>0</v>
      </c>
      <c r="AV360" s="364">
        <v>0</v>
      </c>
      <c r="AW360" s="364">
        <v>0</v>
      </c>
      <c r="AX360" s="364">
        <v>0</v>
      </c>
      <c r="AY360" s="364">
        <v>0</v>
      </c>
      <c r="AZ360" s="364">
        <v>0</v>
      </c>
      <c r="BA360" s="364">
        <v>0</v>
      </c>
      <c r="BB360" s="364">
        <v>0</v>
      </c>
      <c r="BC360" s="363">
        <v>0</v>
      </c>
      <c r="BD360" s="363">
        <v>0</v>
      </c>
      <c r="BE360" s="363">
        <v>0</v>
      </c>
      <c r="BF360" s="363">
        <v>0</v>
      </c>
      <c r="BG360" s="363">
        <v>0</v>
      </c>
      <c r="BH360" s="363">
        <v>0</v>
      </c>
      <c r="BI360" s="363">
        <v>0</v>
      </c>
      <c r="BJ360" s="363">
        <v>0</v>
      </c>
      <c r="BK360" s="363">
        <v>0</v>
      </c>
      <c r="BL360" s="363">
        <v>0</v>
      </c>
      <c r="BM360" s="363">
        <v>0</v>
      </c>
      <c r="BN360" s="363">
        <v>0</v>
      </c>
      <c r="BO360" s="363">
        <v>0</v>
      </c>
      <c r="BP360" s="363">
        <v>0</v>
      </c>
      <c r="BQ360" s="363">
        <v>0</v>
      </c>
      <c r="BR360" s="363">
        <v>0</v>
      </c>
      <c r="BS360" s="363">
        <v>0</v>
      </c>
      <c r="BT360" s="363">
        <v>0</v>
      </c>
      <c r="BU360" s="363">
        <v>0</v>
      </c>
      <c r="BV360" s="363">
        <v>0</v>
      </c>
      <c r="BW360" s="363">
        <v>0</v>
      </c>
      <c r="BX360" s="363">
        <v>0</v>
      </c>
      <c r="BY360" s="363">
        <v>0</v>
      </c>
      <c r="BZ360" s="363">
        <v>0</v>
      </c>
      <c r="CA360" s="363">
        <v>0</v>
      </c>
      <c r="CB360" s="363">
        <v>0</v>
      </c>
      <c r="CC360" s="363">
        <v>0</v>
      </c>
      <c r="CD360" s="363">
        <v>0</v>
      </c>
      <c r="CE360" s="363">
        <v>0</v>
      </c>
      <c r="CF360" s="363">
        <v>0</v>
      </c>
      <c r="CG360" s="363">
        <v>0</v>
      </c>
      <c r="CH360" s="363">
        <v>0</v>
      </c>
      <c r="CI360" s="363">
        <v>0</v>
      </c>
      <c r="CJ360" s="363">
        <v>0</v>
      </c>
      <c r="CK360" s="363">
        <v>0</v>
      </c>
      <c r="CL360" s="363">
        <v>0</v>
      </c>
      <c r="CM360" s="363">
        <v>0</v>
      </c>
      <c r="CN360" s="363">
        <v>0</v>
      </c>
      <c r="CO360" s="363">
        <v>0</v>
      </c>
      <c r="CP360" s="363">
        <v>0</v>
      </c>
      <c r="CQ360" s="363">
        <v>0</v>
      </c>
      <c r="CR360" s="363">
        <v>0</v>
      </c>
      <c r="CS360" s="363">
        <v>0</v>
      </c>
      <c r="CT360" s="363">
        <v>0</v>
      </c>
      <c r="CU360" s="363">
        <v>0</v>
      </c>
      <c r="CV360" s="363">
        <v>0</v>
      </c>
      <c r="CW360" s="363">
        <v>0</v>
      </c>
      <c r="CX360" s="363">
        <v>0</v>
      </c>
      <c r="CY360" s="363">
        <v>0</v>
      </c>
      <c r="CZ360" s="363">
        <v>0</v>
      </c>
      <c r="DA360" s="363">
        <v>0</v>
      </c>
      <c r="DB360" s="363">
        <v>0</v>
      </c>
      <c r="DC360" s="363">
        <v>0</v>
      </c>
      <c r="DD360" s="363">
        <v>0</v>
      </c>
      <c r="DE360" s="363">
        <v>0</v>
      </c>
      <c r="DF360" s="363">
        <v>0</v>
      </c>
      <c r="DG360" s="363">
        <v>0</v>
      </c>
      <c r="DH360" s="363">
        <v>0</v>
      </c>
      <c r="DI360" s="363">
        <v>0</v>
      </c>
      <c r="DJ360" s="363">
        <v>0</v>
      </c>
      <c r="DK360" s="363">
        <v>0</v>
      </c>
      <c r="DL360" s="363">
        <v>0</v>
      </c>
      <c r="DM360" s="363">
        <v>0</v>
      </c>
      <c r="DN360" s="363">
        <v>0</v>
      </c>
      <c r="DO360" s="363">
        <v>0</v>
      </c>
      <c r="DP360" s="363">
        <v>0</v>
      </c>
      <c r="DQ360" s="363">
        <v>0</v>
      </c>
      <c r="DR360" s="364">
        <v>0</v>
      </c>
      <c r="DS360" s="364">
        <v>0</v>
      </c>
      <c r="DT360" s="364">
        <v>0</v>
      </c>
      <c r="DU360" s="364">
        <v>0</v>
      </c>
      <c r="DV360" s="364">
        <v>0</v>
      </c>
      <c r="DW360" s="545">
        <f t="shared" si="38"/>
        <v>0</v>
      </c>
      <c r="DX360" s="858"/>
      <c r="DY360" s="706"/>
      <c r="DZ360" s="872"/>
      <c r="EA360" s="873"/>
      <c r="EB360" s="859"/>
      <c r="EC360" s="859"/>
      <c r="ED360" s="859"/>
      <c r="EE360" s="859"/>
      <c r="EF360" s="861"/>
      <c r="EG360" s="1107"/>
      <c r="EI360" s="858"/>
      <c r="EJ360" s="877"/>
      <c r="ER360" s="497"/>
    </row>
    <row r="361" spans="1:148" s="278" customFormat="1" ht="24" outlineLevel="2" x14ac:dyDescent="0.2">
      <c r="A361" s="892"/>
      <c r="B361" s="897" t="s">
        <v>179</v>
      </c>
      <c r="C361" s="902">
        <v>5</v>
      </c>
      <c r="D361" s="863">
        <f>+IFERROR(VLOOKUP(B361,'Detalle Plan de Adquisiciones'!$G$95:$L$153,6,FALSE),0)</f>
        <v>0</v>
      </c>
      <c r="E361" s="866" t="str">
        <f>+'Detalle Plan de Adquisiciones'!F149</f>
        <v>INTERVENTORÍA TÉCNICA, ADMINISTRATIVA, FINANCIERA Y AMBIENTAL AL CONTRATO CUYO OBJETO ES: PARADERO CON ESPACIO PUBLICO 05 AV. CIRCUNV. X C 95</v>
      </c>
      <c r="F361" s="312" t="s">
        <v>410</v>
      </c>
      <c r="G361" s="354">
        <v>0</v>
      </c>
      <c r="H361" s="354">
        <v>0</v>
      </c>
      <c r="I361" s="354">
        <v>0</v>
      </c>
      <c r="J361" s="354">
        <v>0</v>
      </c>
      <c r="K361" s="354">
        <v>0</v>
      </c>
      <c r="L361" s="354">
        <v>0</v>
      </c>
      <c r="M361" s="354">
        <v>0</v>
      </c>
      <c r="N361" s="354">
        <v>0</v>
      </c>
      <c r="O361" s="354">
        <v>0</v>
      </c>
      <c r="P361" s="354">
        <v>0</v>
      </c>
      <c r="Q361" s="354">
        <v>0</v>
      </c>
      <c r="R361" s="354">
        <v>0</v>
      </c>
      <c r="S361" s="354">
        <v>0</v>
      </c>
      <c r="T361" s="354">
        <v>0</v>
      </c>
      <c r="U361" s="354">
        <v>0</v>
      </c>
      <c r="V361" s="354">
        <v>0</v>
      </c>
      <c r="W361" s="354">
        <v>0</v>
      </c>
      <c r="X361" s="354">
        <v>0</v>
      </c>
      <c r="Y361" s="354">
        <v>0</v>
      </c>
      <c r="Z361" s="354">
        <v>0</v>
      </c>
      <c r="AA361" s="354">
        <v>0</v>
      </c>
      <c r="AB361" s="354">
        <v>0</v>
      </c>
      <c r="AC361" s="354">
        <v>0</v>
      </c>
      <c r="AD361" s="354">
        <v>0</v>
      </c>
      <c r="AE361" s="354">
        <v>0</v>
      </c>
      <c r="AF361" s="354">
        <v>0</v>
      </c>
      <c r="AG361" s="354">
        <v>0</v>
      </c>
      <c r="AH361" s="354">
        <v>0</v>
      </c>
      <c r="AI361" s="354">
        <v>0</v>
      </c>
      <c r="AJ361" s="354">
        <v>0</v>
      </c>
      <c r="AK361" s="354">
        <v>0</v>
      </c>
      <c r="AL361" s="354">
        <v>0</v>
      </c>
      <c r="AM361" s="354">
        <v>0</v>
      </c>
      <c r="AN361" s="354">
        <v>0</v>
      </c>
      <c r="AO361" s="354">
        <v>0</v>
      </c>
      <c r="AP361" s="354">
        <v>0</v>
      </c>
      <c r="AQ361" s="354">
        <v>0</v>
      </c>
      <c r="AR361" s="354">
        <v>0</v>
      </c>
      <c r="AS361" s="354">
        <v>0</v>
      </c>
      <c r="AT361" s="354">
        <v>0</v>
      </c>
      <c r="AU361" s="354">
        <v>0</v>
      </c>
      <c r="AV361" s="354">
        <v>0</v>
      </c>
      <c r="AW361" s="354">
        <v>0</v>
      </c>
      <c r="AX361" s="354">
        <v>0</v>
      </c>
      <c r="AY361" s="354">
        <v>0</v>
      </c>
      <c r="AZ361" s="354">
        <v>0</v>
      </c>
      <c r="BA361" s="354">
        <v>0</v>
      </c>
      <c r="BB361" s="354">
        <v>0</v>
      </c>
      <c r="BC361" s="363">
        <v>0</v>
      </c>
      <c r="BD361" s="363">
        <v>0</v>
      </c>
      <c r="BE361" s="363">
        <v>0</v>
      </c>
      <c r="BF361" s="363">
        <v>0</v>
      </c>
      <c r="BG361" s="363">
        <v>0</v>
      </c>
      <c r="BH361" s="363">
        <v>0</v>
      </c>
      <c r="BI361" s="363">
        <v>0</v>
      </c>
      <c r="BJ361" s="363">
        <v>0</v>
      </c>
      <c r="BK361" s="363">
        <v>0</v>
      </c>
      <c r="BL361" s="363">
        <v>0</v>
      </c>
      <c r="BM361" s="363">
        <v>0</v>
      </c>
      <c r="BN361" s="363">
        <v>0</v>
      </c>
      <c r="BO361" s="363">
        <v>0</v>
      </c>
      <c r="BP361" s="363">
        <v>0</v>
      </c>
      <c r="BQ361" s="363">
        <v>0</v>
      </c>
      <c r="BR361" s="363">
        <v>0</v>
      </c>
      <c r="BS361" s="363">
        <v>0</v>
      </c>
      <c r="BT361" s="363">
        <v>0</v>
      </c>
      <c r="BU361" s="363">
        <v>0</v>
      </c>
      <c r="BV361" s="363">
        <v>0</v>
      </c>
      <c r="BW361" s="363">
        <v>0</v>
      </c>
      <c r="BX361" s="363">
        <v>0</v>
      </c>
      <c r="BY361" s="363">
        <v>0</v>
      </c>
      <c r="BZ361" s="363">
        <v>0</v>
      </c>
      <c r="CA361" s="363">
        <v>0</v>
      </c>
      <c r="CB361" s="363">
        <v>0</v>
      </c>
      <c r="CC361" s="363">
        <v>0</v>
      </c>
      <c r="CD361" s="363">
        <v>0</v>
      </c>
      <c r="CE361" s="363">
        <v>0</v>
      </c>
      <c r="CF361" s="363">
        <v>0</v>
      </c>
      <c r="CG361" s="363">
        <v>0</v>
      </c>
      <c r="CH361" s="363">
        <v>0</v>
      </c>
      <c r="CI361" s="363">
        <v>0</v>
      </c>
      <c r="CJ361" s="363">
        <v>0</v>
      </c>
      <c r="CK361" s="363">
        <v>0</v>
      </c>
      <c r="CL361" s="363">
        <v>0</v>
      </c>
      <c r="CM361" s="363">
        <v>0</v>
      </c>
      <c r="CN361" s="363">
        <v>0</v>
      </c>
      <c r="CO361" s="363">
        <v>0</v>
      </c>
      <c r="CP361" s="363">
        <v>0</v>
      </c>
      <c r="CQ361" s="363">
        <v>0</v>
      </c>
      <c r="CR361" s="363">
        <v>0</v>
      </c>
      <c r="CS361" s="363">
        <v>0</v>
      </c>
      <c r="CT361" s="363">
        <v>0</v>
      </c>
      <c r="CU361" s="363">
        <v>0</v>
      </c>
      <c r="CV361" s="363">
        <v>0</v>
      </c>
      <c r="CW361" s="363">
        <v>0</v>
      </c>
      <c r="CX361" s="363">
        <v>0</v>
      </c>
      <c r="CY361" s="363">
        <v>0</v>
      </c>
      <c r="CZ361" s="363">
        <v>0</v>
      </c>
      <c r="DA361" s="363">
        <v>0</v>
      </c>
      <c r="DB361" s="363">
        <v>0</v>
      </c>
      <c r="DC361" s="363">
        <v>0</v>
      </c>
      <c r="DD361" s="363">
        <v>0</v>
      </c>
      <c r="DE361" s="363">
        <v>0</v>
      </c>
      <c r="DF361" s="363">
        <v>0</v>
      </c>
      <c r="DG361" s="363">
        <v>0</v>
      </c>
      <c r="DH361" s="363">
        <v>0</v>
      </c>
      <c r="DI361" s="363">
        <v>0</v>
      </c>
      <c r="DJ361" s="363">
        <v>0</v>
      </c>
      <c r="DK361" s="363">
        <v>0</v>
      </c>
      <c r="DL361" s="363">
        <v>0</v>
      </c>
      <c r="DM361" s="363">
        <v>0</v>
      </c>
      <c r="DN361" s="363">
        <v>0</v>
      </c>
      <c r="DO361" s="363">
        <v>0</v>
      </c>
      <c r="DP361" s="363">
        <v>0</v>
      </c>
      <c r="DQ361" s="363">
        <v>0</v>
      </c>
      <c r="DR361" s="354">
        <v>0</v>
      </c>
      <c r="DS361" s="354">
        <v>0</v>
      </c>
      <c r="DT361" s="354">
        <v>0</v>
      </c>
      <c r="DU361" s="354">
        <v>0</v>
      </c>
      <c r="DV361" s="354">
        <v>0</v>
      </c>
      <c r="DW361" s="543">
        <f t="shared" si="38"/>
        <v>0</v>
      </c>
      <c r="DX361" s="858">
        <f>DW361+DW362+DW363</f>
        <v>0</v>
      </c>
      <c r="DY361" s="704">
        <f>+DX361*1000000</f>
        <v>0</v>
      </c>
      <c r="DZ361" s="870">
        <f>+DY361-D361</f>
        <v>0</v>
      </c>
      <c r="EA361" s="873" t="str">
        <f>VLOOKUP(POA!$B361,INTERPLAN,28,0)</f>
        <v>N/A</v>
      </c>
      <c r="EB361" s="859" t="e">
        <f>+EDATE(EA361,C361)</f>
        <v>#VALUE!</v>
      </c>
      <c r="EC361" s="859" t="e">
        <f>EB361+30</f>
        <v>#VALUE!</v>
      </c>
      <c r="ED361" s="859" t="e">
        <f>CONCATENATE(MONTH(EA361),"-",YEAR(EA361))</f>
        <v>#VALUE!</v>
      </c>
      <c r="EE361" s="859" t="e">
        <f>CONCATENATE(MONTH(EB361),"-",YEAR(EB361))</f>
        <v>#VALUE!</v>
      </c>
      <c r="EF361" s="861" t="e">
        <f>CONCATENATE(MONTH(EC361),"-",YEAR(EC361))</f>
        <v>#VALUE!</v>
      </c>
      <c r="EG361" s="1105"/>
      <c r="EI361" s="858">
        <f>+DW361+DW362+DW363</f>
        <v>0</v>
      </c>
      <c r="EJ361" s="877">
        <f>+D361/1000000-EI361</f>
        <v>0</v>
      </c>
      <c r="ER361" s="497"/>
    </row>
    <row r="362" spans="1:148" s="278" customFormat="1" outlineLevel="2" x14ac:dyDescent="0.2">
      <c r="A362" s="893"/>
      <c r="B362" s="886"/>
      <c r="C362" s="903"/>
      <c r="D362" s="864"/>
      <c r="E362" s="867"/>
      <c r="F362" s="311" t="s">
        <v>210</v>
      </c>
      <c r="G362" s="363">
        <v>0</v>
      </c>
      <c r="H362" s="363">
        <v>0</v>
      </c>
      <c r="I362" s="363">
        <v>0</v>
      </c>
      <c r="J362" s="363">
        <v>0</v>
      </c>
      <c r="K362" s="363">
        <v>0</v>
      </c>
      <c r="L362" s="363">
        <v>0</v>
      </c>
      <c r="M362" s="363">
        <v>0</v>
      </c>
      <c r="N362" s="363">
        <v>0</v>
      </c>
      <c r="O362" s="363">
        <v>0</v>
      </c>
      <c r="P362" s="363">
        <v>0</v>
      </c>
      <c r="Q362" s="363">
        <v>0</v>
      </c>
      <c r="R362" s="363">
        <v>0</v>
      </c>
      <c r="S362" s="363">
        <v>0</v>
      </c>
      <c r="T362" s="363">
        <v>0</v>
      </c>
      <c r="U362" s="363">
        <v>0</v>
      </c>
      <c r="V362" s="363">
        <v>0</v>
      </c>
      <c r="W362" s="363">
        <v>0</v>
      </c>
      <c r="X362" s="363">
        <v>0</v>
      </c>
      <c r="Y362" s="363">
        <v>0</v>
      </c>
      <c r="Z362" s="363">
        <v>0</v>
      </c>
      <c r="AA362" s="363">
        <v>0</v>
      </c>
      <c r="AB362" s="363">
        <v>0</v>
      </c>
      <c r="AC362" s="363">
        <v>0</v>
      </c>
      <c r="AD362" s="363">
        <v>0</v>
      </c>
      <c r="AE362" s="363">
        <v>0</v>
      </c>
      <c r="AF362" s="363">
        <v>0</v>
      </c>
      <c r="AG362" s="363">
        <v>0</v>
      </c>
      <c r="AH362" s="363">
        <v>0</v>
      </c>
      <c r="AI362" s="363">
        <v>0</v>
      </c>
      <c r="AJ362" s="363">
        <v>0</v>
      </c>
      <c r="AK362" s="363">
        <v>0</v>
      </c>
      <c r="AL362" s="363">
        <v>0</v>
      </c>
      <c r="AM362" s="363">
        <v>0</v>
      </c>
      <c r="AN362" s="363">
        <v>0</v>
      </c>
      <c r="AO362" s="363">
        <v>0</v>
      </c>
      <c r="AP362" s="363">
        <v>0</v>
      </c>
      <c r="AQ362" s="363">
        <v>0</v>
      </c>
      <c r="AR362" s="363">
        <v>0</v>
      </c>
      <c r="AS362" s="363">
        <v>0</v>
      </c>
      <c r="AT362" s="363">
        <v>0</v>
      </c>
      <c r="AU362" s="363">
        <v>0</v>
      </c>
      <c r="AV362" s="363">
        <v>0</v>
      </c>
      <c r="AW362" s="363">
        <v>0</v>
      </c>
      <c r="AX362" s="363">
        <v>0</v>
      </c>
      <c r="AY362" s="363">
        <v>0</v>
      </c>
      <c r="AZ362" s="363">
        <v>0</v>
      </c>
      <c r="BA362" s="363">
        <v>0</v>
      </c>
      <c r="BB362" s="363">
        <v>0</v>
      </c>
      <c r="BC362" s="363">
        <v>0</v>
      </c>
      <c r="BD362" s="363">
        <v>0</v>
      </c>
      <c r="BE362" s="363">
        <v>0</v>
      </c>
      <c r="BF362" s="363">
        <v>0</v>
      </c>
      <c r="BG362" s="363">
        <v>0</v>
      </c>
      <c r="BH362" s="363">
        <v>0</v>
      </c>
      <c r="BI362" s="363">
        <v>0</v>
      </c>
      <c r="BJ362" s="363">
        <v>0</v>
      </c>
      <c r="BK362" s="363">
        <v>0</v>
      </c>
      <c r="BL362" s="363">
        <v>0</v>
      </c>
      <c r="BM362" s="363">
        <v>0</v>
      </c>
      <c r="BN362" s="363">
        <v>0</v>
      </c>
      <c r="BO362" s="363">
        <v>0</v>
      </c>
      <c r="BP362" s="363">
        <v>0</v>
      </c>
      <c r="BQ362" s="363">
        <v>0</v>
      </c>
      <c r="BR362" s="363">
        <v>0</v>
      </c>
      <c r="BS362" s="363">
        <v>0</v>
      </c>
      <c r="BT362" s="363">
        <v>0</v>
      </c>
      <c r="BU362" s="363">
        <v>0</v>
      </c>
      <c r="BV362" s="363">
        <v>0</v>
      </c>
      <c r="BW362" s="363">
        <v>0</v>
      </c>
      <c r="BX362" s="363">
        <v>0</v>
      </c>
      <c r="BY362" s="363">
        <v>0</v>
      </c>
      <c r="BZ362" s="363">
        <v>0</v>
      </c>
      <c r="CA362" s="363">
        <v>0</v>
      </c>
      <c r="CB362" s="363">
        <v>0</v>
      </c>
      <c r="CC362" s="363">
        <v>0</v>
      </c>
      <c r="CD362" s="363">
        <v>0</v>
      </c>
      <c r="CE362" s="363">
        <v>0</v>
      </c>
      <c r="CF362" s="363">
        <v>0</v>
      </c>
      <c r="CG362" s="363">
        <v>0</v>
      </c>
      <c r="CH362" s="363">
        <v>0</v>
      </c>
      <c r="CI362" s="363">
        <v>0</v>
      </c>
      <c r="CJ362" s="363">
        <v>0</v>
      </c>
      <c r="CK362" s="363">
        <v>0</v>
      </c>
      <c r="CL362" s="363">
        <v>0</v>
      </c>
      <c r="CM362" s="363">
        <v>0</v>
      </c>
      <c r="CN362" s="363">
        <v>0</v>
      </c>
      <c r="CO362" s="363">
        <v>0</v>
      </c>
      <c r="CP362" s="363">
        <v>0</v>
      </c>
      <c r="CQ362" s="363">
        <v>0</v>
      </c>
      <c r="CR362" s="363">
        <v>0</v>
      </c>
      <c r="CS362" s="363">
        <v>0</v>
      </c>
      <c r="CT362" s="363">
        <v>0</v>
      </c>
      <c r="CU362" s="363">
        <v>0</v>
      </c>
      <c r="CV362" s="363">
        <v>0</v>
      </c>
      <c r="CW362" s="363">
        <v>0</v>
      </c>
      <c r="CX362" s="363">
        <v>0</v>
      </c>
      <c r="CY362" s="363">
        <v>0</v>
      </c>
      <c r="CZ362" s="363">
        <v>0</v>
      </c>
      <c r="DA362" s="363">
        <v>0</v>
      </c>
      <c r="DB362" s="363">
        <v>0</v>
      </c>
      <c r="DC362" s="363">
        <v>0</v>
      </c>
      <c r="DD362" s="363">
        <v>0</v>
      </c>
      <c r="DE362" s="363">
        <v>0</v>
      </c>
      <c r="DF362" s="363">
        <v>0</v>
      </c>
      <c r="DG362" s="363">
        <v>0</v>
      </c>
      <c r="DH362" s="363">
        <v>0</v>
      </c>
      <c r="DI362" s="363">
        <v>0</v>
      </c>
      <c r="DJ362" s="363">
        <v>0</v>
      </c>
      <c r="DK362" s="363">
        <v>0</v>
      </c>
      <c r="DL362" s="363">
        <v>0</v>
      </c>
      <c r="DM362" s="363">
        <v>0</v>
      </c>
      <c r="DN362" s="363">
        <v>0</v>
      </c>
      <c r="DO362" s="363">
        <v>0</v>
      </c>
      <c r="DP362" s="363">
        <v>0</v>
      </c>
      <c r="DQ362" s="363">
        <v>0</v>
      </c>
      <c r="DR362" s="363">
        <v>0</v>
      </c>
      <c r="DS362" s="363">
        <v>0</v>
      </c>
      <c r="DT362" s="363">
        <v>0</v>
      </c>
      <c r="DU362" s="363">
        <v>0</v>
      </c>
      <c r="DV362" s="363">
        <v>0</v>
      </c>
      <c r="DW362" s="544">
        <f t="shared" si="38"/>
        <v>0</v>
      </c>
      <c r="DX362" s="858"/>
      <c r="DY362" s="705"/>
      <c r="DZ362" s="871"/>
      <c r="EA362" s="873"/>
      <c r="EB362" s="859"/>
      <c r="EC362" s="859"/>
      <c r="ED362" s="859"/>
      <c r="EE362" s="859"/>
      <c r="EF362" s="861"/>
      <c r="EG362" s="1106"/>
      <c r="EI362" s="858"/>
      <c r="EJ362" s="877"/>
      <c r="ER362" s="497"/>
    </row>
    <row r="363" spans="1:148" s="278" customFormat="1" ht="12.75" outlineLevel="2" thickBot="1" x14ac:dyDescent="0.25">
      <c r="A363" s="894"/>
      <c r="B363" s="887"/>
      <c r="C363" s="904"/>
      <c r="D363" s="865"/>
      <c r="E363" s="868"/>
      <c r="F363" s="315" t="s">
        <v>211</v>
      </c>
      <c r="G363" s="364">
        <v>0</v>
      </c>
      <c r="H363" s="364">
        <v>0</v>
      </c>
      <c r="I363" s="364">
        <v>0</v>
      </c>
      <c r="J363" s="364">
        <v>0</v>
      </c>
      <c r="K363" s="364">
        <v>0</v>
      </c>
      <c r="L363" s="364">
        <v>0</v>
      </c>
      <c r="M363" s="364">
        <v>0</v>
      </c>
      <c r="N363" s="364">
        <v>0</v>
      </c>
      <c r="O363" s="364">
        <v>0</v>
      </c>
      <c r="P363" s="364">
        <v>0</v>
      </c>
      <c r="Q363" s="364">
        <v>0</v>
      </c>
      <c r="R363" s="364">
        <v>0</v>
      </c>
      <c r="S363" s="364">
        <v>0</v>
      </c>
      <c r="T363" s="364">
        <v>0</v>
      </c>
      <c r="U363" s="364">
        <v>0</v>
      </c>
      <c r="V363" s="364">
        <v>0</v>
      </c>
      <c r="W363" s="364">
        <v>0</v>
      </c>
      <c r="X363" s="364">
        <v>0</v>
      </c>
      <c r="Y363" s="364">
        <v>0</v>
      </c>
      <c r="Z363" s="364">
        <v>0</v>
      </c>
      <c r="AA363" s="364">
        <v>0</v>
      </c>
      <c r="AB363" s="364">
        <v>0</v>
      </c>
      <c r="AC363" s="364">
        <v>0</v>
      </c>
      <c r="AD363" s="364">
        <v>0</v>
      </c>
      <c r="AE363" s="364">
        <v>0</v>
      </c>
      <c r="AF363" s="364">
        <v>0</v>
      </c>
      <c r="AG363" s="364">
        <v>0</v>
      </c>
      <c r="AH363" s="364">
        <v>0</v>
      </c>
      <c r="AI363" s="364">
        <v>0</v>
      </c>
      <c r="AJ363" s="364">
        <v>0</v>
      </c>
      <c r="AK363" s="364">
        <v>0</v>
      </c>
      <c r="AL363" s="364">
        <v>0</v>
      </c>
      <c r="AM363" s="364">
        <v>0</v>
      </c>
      <c r="AN363" s="364">
        <v>0</v>
      </c>
      <c r="AO363" s="364">
        <v>0</v>
      </c>
      <c r="AP363" s="364">
        <v>0</v>
      </c>
      <c r="AQ363" s="364">
        <v>0</v>
      </c>
      <c r="AR363" s="364">
        <v>0</v>
      </c>
      <c r="AS363" s="364">
        <v>0</v>
      </c>
      <c r="AT363" s="364">
        <v>0</v>
      </c>
      <c r="AU363" s="364">
        <v>0</v>
      </c>
      <c r="AV363" s="364">
        <v>0</v>
      </c>
      <c r="AW363" s="364">
        <v>0</v>
      </c>
      <c r="AX363" s="364">
        <v>0</v>
      </c>
      <c r="AY363" s="364">
        <v>0</v>
      </c>
      <c r="AZ363" s="364">
        <v>0</v>
      </c>
      <c r="BA363" s="364">
        <v>0</v>
      </c>
      <c r="BB363" s="364">
        <v>0</v>
      </c>
      <c r="BC363" s="363">
        <v>0</v>
      </c>
      <c r="BD363" s="363">
        <v>0</v>
      </c>
      <c r="BE363" s="363">
        <v>0</v>
      </c>
      <c r="BF363" s="363">
        <v>0</v>
      </c>
      <c r="BG363" s="363">
        <v>0</v>
      </c>
      <c r="BH363" s="363">
        <v>0</v>
      </c>
      <c r="BI363" s="363">
        <v>0</v>
      </c>
      <c r="BJ363" s="363">
        <v>0</v>
      </c>
      <c r="BK363" s="363">
        <v>0</v>
      </c>
      <c r="BL363" s="363">
        <v>0</v>
      </c>
      <c r="BM363" s="363">
        <v>0</v>
      </c>
      <c r="BN363" s="363">
        <v>0</v>
      </c>
      <c r="BO363" s="363">
        <v>0</v>
      </c>
      <c r="BP363" s="363">
        <v>0</v>
      </c>
      <c r="BQ363" s="363">
        <v>0</v>
      </c>
      <c r="BR363" s="363">
        <v>0</v>
      </c>
      <c r="BS363" s="363">
        <v>0</v>
      </c>
      <c r="BT363" s="363">
        <v>0</v>
      </c>
      <c r="BU363" s="363">
        <v>0</v>
      </c>
      <c r="BV363" s="363">
        <v>0</v>
      </c>
      <c r="BW363" s="363">
        <v>0</v>
      </c>
      <c r="BX363" s="363">
        <v>0</v>
      </c>
      <c r="BY363" s="363">
        <v>0</v>
      </c>
      <c r="BZ363" s="363">
        <v>0</v>
      </c>
      <c r="CA363" s="363">
        <v>0</v>
      </c>
      <c r="CB363" s="363">
        <v>0</v>
      </c>
      <c r="CC363" s="363">
        <v>0</v>
      </c>
      <c r="CD363" s="363">
        <v>0</v>
      </c>
      <c r="CE363" s="363">
        <v>0</v>
      </c>
      <c r="CF363" s="363">
        <v>0</v>
      </c>
      <c r="CG363" s="363">
        <v>0</v>
      </c>
      <c r="CH363" s="363">
        <v>0</v>
      </c>
      <c r="CI363" s="363">
        <v>0</v>
      </c>
      <c r="CJ363" s="363">
        <v>0</v>
      </c>
      <c r="CK363" s="363">
        <v>0</v>
      </c>
      <c r="CL363" s="363">
        <v>0</v>
      </c>
      <c r="CM363" s="363">
        <v>0</v>
      </c>
      <c r="CN363" s="363">
        <v>0</v>
      </c>
      <c r="CO363" s="363">
        <v>0</v>
      </c>
      <c r="CP363" s="363">
        <v>0</v>
      </c>
      <c r="CQ363" s="363">
        <v>0</v>
      </c>
      <c r="CR363" s="363">
        <v>0</v>
      </c>
      <c r="CS363" s="363">
        <v>0</v>
      </c>
      <c r="CT363" s="363">
        <v>0</v>
      </c>
      <c r="CU363" s="363">
        <v>0</v>
      </c>
      <c r="CV363" s="363">
        <v>0</v>
      </c>
      <c r="CW363" s="363">
        <v>0</v>
      </c>
      <c r="CX363" s="363">
        <v>0</v>
      </c>
      <c r="CY363" s="363">
        <v>0</v>
      </c>
      <c r="CZ363" s="363">
        <v>0</v>
      </c>
      <c r="DA363" s="363">
        <v>0</v>
      </c>
      <c r="DB363" s="363">
        <v>0</v>
      </c>
      <c r="DC363" s="363">
        <v>0</v>
      </c>
      <c r="DD363" s="363">
        <v>0</v>
      </c>
      <c r="DE363" s="363">
        <v>0</v>
      </c>
      <c r="DF363" s="363">
        <v>0</v>
      </c>
      <c r="DG363" s="363">
        <v>0</v>
      </c>
      <c r="DH363" s="363">
        <v>0</v>
      </c>
      <c r="DI363" s="363">
        <v>0</v>
      </c>
      <c r="DJ363" s="363">
        <v>0</v>
      </c>
      <c r="DK363" s="363">
        <v>0</v>
      </c>
      <c r="DL363" s="363">
        <v>0</v>
      </c>
      <c r="DM363" s="363">
        <v>0</v>
      </c>
      <c r="DN363" s="363">
        <v>0</v>
      </c>
      <c r="DO363" s="363">
        <v>0</v>
      </c>
      <c r="DP363" s="363">
        <v>0</v>
      </c>
      <c r="DQ363" s="363">
        <v>0</v>
      </c>
      <c r="DR363" s="364">
        <v>0</v>
      </c>
      <c r="DS363" s="364">
        <v>0</v>
      </c>
      <c r="DT363" s="364">
        <v>0</v>
      </c>
      <c r="DU363" s="364">
        <v>0</v>
      </c>
      <c r="DV363" s="364">
        <v>0</v>
      </c>
      <c r="DW363" s="545">
        <f t="shared" si="38"/>
        <v>0</v>
      </c>
      <c r="DX363" s="858"/>
      <c r="DY363" s="706"/>
      <c r="DZ363" s="872"/>
      <c r="EA363" s="873"/>
      <c r="EB363" s="859"/>
      <c r="EC363" s="859"/>
      <c r="ED363" s="859"/>
      <c r="EE363" s="859"/>
      <c r="EF363" s="861"/>
      <c r="EG363" s="1107"/>
      <c r="EI363" s="858"/>
      <c r="EJ363" s="877"/>
      <c r="ER363" s="497"/>
    </row>
    <row r="364" spans="1:148" s="278" customFormat="1" ht="24" outlineLevel="2" x14ac:dyDescent="0.2">
      <c r="A364" s="892"/>
      <c r="B364" s="897" t="s">
        <v>180</v>
      </c>
      <c r="C364" s="902">
        <v>5</v>
      </c>
      <c r="D364" s="863">
        <f>+IFERROR(VLOOKUP(B364,'Detalle Plan de Adquisiciones'!$G$95:$L$153,6,FALSE),0)</f>
        <v>0</v>
      </c>
      <c r="E364" s="866" t="str">
        <f>+'Detalle Plan de Adquisiciones'!F150</f>
        <v>INTERVENTORÍA TÉCNICA, ADMINISTRATIVA, FINANCIERA Y AMBIENTAL AL CONTRATO CUYO OBJETO ES: PARADERO CON ESPACIO PUBLICO 12 T 15 X C 5</v>
      </c>
      <c r="F364" s="312" t="s">
        <v>410</v>
      </c>
      <c r="G364" s="354">
        <v>0</v>
      </c>
      <c r="H364" s="354">
        <v>0</v>
      </c>
      <c r="I364" s="354">
        <v>0</v>
      </c>
      <c r="J364" s="354">
        <v>0</v>
      </c>
      <c r="K364" s="354">
        <v>0</v>
      </c>
      <c r="L364" s="354">
        <v>0</v>
      </c>
      <c r="M364" s="354">
        <v>0</v>
      </c>
      <c r="N364" s="354">
        <v>0</v>
      </c>
      <c r="O364" s="354">
        <v>0</v>
      </c>
      <c r="P364" s="354">
        <v>0</v>
      </c>
      <c r="Q364" s="354">
        <v>0</v>
      </c>
      <c r="R364" s="354">
        <v>0</v>
      </c>
      <c r="S364" s="354">
        <v>0</v>
      </c>
      <c r="T364" s="354">
        <v>0</v>
      </c>
      <c r="U364" s="354">
        <v>0</v>
      </c>
      <c r="V364" s="354">
        <v>0</v>
      </c>
      <c r="W364" s="354">
        <v>0</v>
      </c>
      <c r="X364" s="354">
        <v>0</v>
      </c>
      <c r="Y364" s="354">
        <v>0</v>
      </c>
      <c r="Z364" s="354">
        <v>0</v>
      </c>
      <c r="AA364" s="354">
        <v>0</v>
      </c>
      <c r="AB364" s="354">
        <v>0</v>
      </c>
      <c r="AC364" s="354">
        <v>0</v>
      </c>
      <c r="AD364" s="354">
        <v>0</v>
      </c>
      <c r="AE364" s="354">
        <v>0</v>
      </c>
      <c r="AF364" s="354">
        <v>0</v>
      </c>
      <c r="AG364" s="354">
        <v>0</v>
      </c>
      <c r="AH364" s="354">
        <v>0</v>
      </c>
      <c r="AI364" s="354">
        <v>0</v>
      </c>
      <c r="AJ364" s="354">
        <v>0</v>
      </c>
      <c r="AK364" s="354">
        <v>0</v>
      </c>
      <c r="AL364" s="354">
        <v>0</v>
      </c>
      <c r="AM364" s="354">
        <v>0</v>
      </c>
      <c r="AN364" s="354">
        <v>0</v>
      </c>
      <c r="AO364" s="354">
        <v>0</v>
      </c>
      <c r="AP364" s="354">
        <v>0</v>
      </c>
      <c r="AQ364" s="354">
        <v>0</v>
      </c>
      <c r="AR364" s="354">
        <v>0</v>
      </c>
      <c r="AS364" s="354">
        <v>0</v>
      </c>
      <c r="AT364" s="354">
        <v>0</v>
      </c>
      <c r="AU364" s="354">
        <v>0</v>
      </c>
      <c r="AV364" s="354">
        <v>0</v>
      </c>
      <c r="AW364" s="354">
        <v>0</v>
      </c>
      <c r="AX364" s="354">
        <v>0</v>
      </c>
      <c r="AY364" s="354">
        <v>0</v>
      </c>
      <c r="AZ364" s="354">
        <v>0</v>
      </c>
      <c r="BA364" s="354">
        <v>0</v>
      </c>
      <c r="BB364" s="354">
        <v>0</v>
      </c>
      <c r="BC364" s="363">
        <v>0</v>
      </c>
      <c r="BD364" s="363">
        <v>0</v>
      </c>
      <c r="BE364" s="363">
        <v>0</v>
      </c>
      <c r="BF364" s="363">
        <v>0</v>
      </c>
      <c r="BG364" s="363">
        <v>0</v>
      </c>
      <c r="BH364" s="363">
        <v>0</v>
      </c>
      <c r="BI364" s="363">
        <v>0</v>
      </c>
      <c r="BJ364" s="363">
        <v>0</v>
      </c>
      <c r="BK364" s="363">
        <v>0</v>
      </c>
      <c r="BL364" s="363">
        <v>0</v>
      </c>
      <c r="BM364" s="363">
        <v>0</v>
      </c>
      <c r="BN364" s="363">
        <v>0</v>
      </c>
      <c r="BO364" s="363">
        <v>0</v>
      </c>
      <c r="BP364" s="363">
        <v>0</v>
      </c>
      <c r="BQ364" s="363">
        <v>0</v>
      </c>
      <c r="BR364" s="363">
        <v>0</v>
      </c>
      <c r="BS364" s="363">
        <v>0</v>
      </c>
      <c r="BT364" s="363">
        <v>0</v>
      </c>
      <c r="BU364" s="363">
        <v>0</v>
      </c>
      <c r="BV364" s="363">
        <v>0</v>
      </c>
      <c r="BW364" s="363">
        <v>0</v>
      </c>
      <c r="BX364" s="363">
        <v>0</v>
      </c>
      <c r="BY364" s="363">
        <v>0</v>
      </c>
      <c r="BZ364" s="363">
        <v>0</v>
      </c>
      <c r="CA364" s="363">
        <v>0</v>
      </c>
      <c r="CB364" s="363">
        <v>0</v>
      </c>
      <c r="CC364" s="363">
        <v>0</v>
      </c>
      <c r="CD364" s="363">
        <v>0</v>
      </c>
      <c r="CE364" s="363">
        <v>0</v>
      </c>
      <c r="CF364" s="363">
        <v>0</v>
      </c>
      <c r="CG364" s="363">
        <v>0</v>
      </c>
      <c r="CH364" s="363">
        <v>0</v>
      </c>
      <c r="CI364" s="363">
        <v>0</v>
      </c>
      <c r="CJ364" s="363">
        <v>0</v>
      </c>
      <c r="CK364" s="363">
        <v>0</v>
      </c>
      <c r="CL364" s="363">
        <v>0</v>
      </c>
      <c r="CM364" s="363">
        <v>0</v>
      </c>
      <c r="CN364" s="363">
        <v>0</v>
      </c>
      <c r="CO364" s="363">
        <v>0</v>
      </c>
      <c r="CP364" s="363">
        <v>0</v>
      </c>
      <c r="CQ364" s="363">
        <v>0</v>
      </c>
      <c r="CR364" s="363">
        <v>0</v>
      </c>
      <c r="CS364" s="363">
        <v>0</v>
      </c>
      <c r="CT364" s="363">
        <v>0</v>
      </c>
      <c r="CU364" s="363">
        <v>0</v>
      </c>
      <c r="CV364" s="363">
        <v>0</v>
      </c>
      <c r="CW364" s="363">
        <v>0</v>
      </c>
      <c r="CX364" s="363">
        <v>0</v>
      </c>
      <c r="CY364" s="363">
        <v>0</v>
      </c>
      <c r="CZ364" s="363">
        <v>0</v>
      </c>
      <c r="DA364" s="363">
        <v>0</v>
      </c>
      <c r="DB364" s="363">
        <v>0</v>
      </c>
      <c r="DC364" s="363">
        <v>0</v>
      </c>
      <c r="DD364" s="363">
        <v>0</v>
      </c>
      <c r="DE364" s="363">
        <v>0</v>
      </c>
      <c r="DF364" s="363">
        <v>0</v>
      </c>
      <c r="DG364" s="363">
        <v>0</v>
      </c>
      <c r="DH364" s="363">
        <v>0</v>
      </c>
      <c r="DI364" s="363">
        <v>0</v>
      </c>
      <c r="DJ364" s="363">
        <v>0</v>
      </c>
      <c r="DK364" s="363">
        <v>0</v>
      </c>
      <c r="DL364" s="363">
        <v>0</v>
      </c>
      <c r="DM364" s="363">
        <v>0</v>
      </c>
      <c r="DN364" s="363">
        <v>0</v>
      </c>
      <c r="DO364" s="363">
        <v>0</v>
      </c>
      <c r="DP364" s="363">
        <v>0</v>
      </c>
      <c r="DQ364" s="363">
        <v>0</v>
      </c>
      <c r="DR364" s="354">
        <v>0</v>
      </c>
      <c r="DS364" s="354">
        <v>0</v>
      </c>
      <c r="DT364" s="354">
        <v>0</v>
      </c>
      <c r="DU364" s="354">
        <v>0</v>
      </c>
      <c r="DV364" s="354">
        <v>0</v>
      </c>
      <c r="DW364" s="543">
        <f t="shared" si="38"/>
        <v>0</v>
      </c>
      <c r="DX364" s="858">
        <f>DW364+DW365+DW366</f>
        <v>0</v>
      </c>
      <c r="DY364" s="704">
        <f>+DX364*1000000</f>
        <v>0</v>
      </c>
      <c r="DZ364" s="870">
        <f>+DY364-D364</f>
        <v>0</v>
      </c>
      <c r="EA364" s="873">
        <f>VLOOKUP(POA!$B364,INTERPLAN,28,0)</f>
        <v>41188</v>
      </c>
      <c r="EB364" s="859">
        <f>+EDATE(EA364,C364)</f>
        <v>41339</v>
      </c>
      <c r="EC364" s="859">
        <f>EB364+30</f>
        <v>41369</v>
      </c>
      <c r="ED364" s="859" t="str">
        <f>CONCATENATE(MONTH(EA364),"-",YEAR(EA364))</f>
        <v>10-2012</v>
      </c>
      <c r="EE364" s="859" t="str">
        <f>CONCATENATE(MONTH(EB364),"-",YEAR(EB364))</f>
        <v>3-2013</v>
      </c>
      <c r="EF364" s="861" t="str">
        <f>CONCATENATE(MONTH(EC364),"-",YEAR(EC364))</f>
        <v>4-2013</v>
      </c>
      <c r="EG364" s="1105"/>
      <c r="EI364" s="858">
        <f>+DW364+DW365+DW366</f>
        <v>0</v>
      </c>
      <c r="EJ364" s="877">
        <f>+D364/1000000-EI364</f>
        <v>0</v>
      </c>
      <c r="ER364" s="497"/>
    </row>
    <row r="365" spans="1:148" s="278" customFormat="1" outlineLevel="2" x14ac:dyDescent="0.2">
      <c r="A365" s="893"/>
      <c r="B365" s="886"/>
      <c r="C365" s="903"/>
      <c r="D365" s="864"/>
      <c r="E365" s="867"/>
      <c r="F365" s="311" t="s">
        <v>210</v>
      </c>
      <c r="G365" s="363">
        <v>0</v>
      </c>
      <c r="H365" s="363">
        <v>0</v>
      </c>
      <c r="I365" s="363">
        <v>0</v>
      </c>
      <c r="J365" s="363">
        <v>0</v>
      </c>
      <c r="K365" s="363">
        <v>0</v>
      </c>
      <c r="L365" s="363">
        <v>0</v>
      </c>
      <c r="M365" s="363">
        <v>0</v>
      </c>
      <c r="N365" s="363">
        <v>0</v>
      </c>
      <c r="O365" s="363">
        <v>0</v>
      </c>
      <c r="P365" s="363">
        <v>0</v>
      </c>
      <c r="Q365" s="363">
        <v>0</v>
      </c>
      <c r="R365" s="363">
        <v>0</v>
      </c>
      <c r="S365" s="363">
        <v>0</v>
      </c>
      <c r="T365" s="363">
        <v>0</v>
      </c>
      <c r="U365" s="363">
        <v>0</v>
      </c>
      <c r="V365" s="363">
        <v>0</v>
      </c>
      <c r="W365" s="363">
        <v>0</v>
      </c>
      <c r="X365" s="363">
        <v>0</v>
      </c>
      <c r="Y365" s="363">
        <v>0</v>
      </c>
      <c r="Z365" s="363">
        <v>0</v>
      </c>
      <c r="AA365" s="363">
        <v>0</v>
      </c>
      <c r="AB365" s="363">
        <v>0</v>
      </c>
      <c r="AC365" s="363">
        <v>0</v>
      </c>
      <c r="AD365" s="363">
        <v>0</v>
      </c>
      <c r="AE365" s="363">
        <v>0</v>
      </c>
      <c r="AF365" s="363">
        <v>0</v>
      </c>
      <c r="AG365" s="363">
        <v>0</v>
      </c>
      <c r="AH365" s="363">
        <v>0</v>
      </c>
      <c r="AI365" s="363">
        <v>0</v>
      </c>
      <c r="AJ365" s="363">
        <v>0</v>
      </c>
      <c r="AK365" s="363">
        <v>0</v>
      </c>
      <c r="AL365" s="363">
        <v>0</v>
      </c>
      <c r="AM365" s="363">
        <v>0</v>
      </c>
      <c r="AN365" s="363">
        <v>0</v>
      </c>
      <c r="AO365" s="363">
        <v>0</v>
      </c>
      <c r="AP365" s="363">
        <v>0</v>
      </c>
      <c r="AQ365" s="363">
        <v>0</v>
      </c>
      <c r="AR365" s="363">
        <v>0</v>
      </c>
      <c r="AS365" s="363">
        <v>0</v>
      </c>
      <c r="AT365" s="363">
        <v>0</v>
      </c>
      <c r="AU365" s="363">
        <v>0</v>
      </c>
      <c r="AV365" s="363">
        <v>0</v>
      </c>
      <c r="AW365" s="363">
        <v>0</v>
      </c>
      <c r="AX365" s="363">
        <v>0</v>
      </c>
      <c r="AY365" s="363">
        <v>0</v>
      </c>
      <c r="AZ365" s="363">
        <v>0</v>
      </c>
      <c r="BA365" s="363">
        <v>0</v>
      </c>
      <c r="BB365" s="363">
        <v>0</v>
      </c>
      <c r="BC365" s="363">
        <v>0</v>
      </c>
      <c r="BD365" s="363">
        <v>0</v>
      </c>
      <c r="BE365" s="363">
        <v>0</v>
      </c>
      <c r="BF365" s="363">
        <v>0</v>
      </c>
      <c r="BG365" s="363">
        <v>0</v>
      </c>
      <c r="BH365" s="363">
        <v>0</v>
      </c>
      <c r="BI365" s="363">
        <v>0</v>
      </c>
      <c r="BJ365" s="363">
        <v>0</v>
      </c>
      <c r="BK365" s="363">
        <v>0</v>
      </c>
      <c r="BL365" s="363">
        <v>0</v>
      </c>
      <c r="BM365" s="363">
        <v>0</v>
      </c>
      <c r="BN365" s="363">
        <v>0</v>
      </c>
      <c r="BO365" s="363">
        <v>0</v>
      </c>
      <c r="BP365" s="363">
        <v>0</v>
      </c>
      <c r="BQ365" s="363">
        <v>0</v>
      </c>
      <c r="BR365" s="363">
        <v>0</v>
      </c>
      <c r="BS365" s="363">
        <v>0</v>
      </c>
      <c r="BT365" s="363">
        <v>0</v>
      </c>
      <c r="BU365" s="363">
        <v>0</v>
      </c>
      <c r="BV365" s="363">
        <v>0</v>
      </c>
      <c r="BW365" s="363">
        <v>0</v>
      </c>
      <c r="BX365" s="363">
        <v>0</v>
      </c>
      <c r="BY365" s="363">
        <v>0</v>
      </c>
      <c r="BZ365" s="363">
        <v>0</v>
      </c>
      <c r="CA365" s="363">
        <v>0</v>
      </c>
      <c r="CB365" s="363">
        <v>0</v>
      </c>
      <c r="CC365" s="363">
        <v>0</v>
      </c>
      <c r="CD365" s="363">
        <v>0</v>
      </c>
      <c r="CE365" s="363">
        <v>0</v>
      </c>
      <c r="CF365" s="363">
        <v>0</v>
      </c>
      <c r="CG365" s="363">
        <v>0</v>
      </c>
      <c r="CH365" s="363">
        <v>0</v>
      </c>
      <c r="CI365" s="363">
        <v>0</v>
      </c>
      <c r="CJ365" s="363">
        <v>0</v>
      </c>
      <c r="CK365" s="363">
        <v>0</v>
      </c>
      <c r="CL365" s="363">
        <v>0</v>
      </c>
      <c r="CM365" s="363">
        <v>0</v>
      </c>
      <c r="CN365" s="363">
        <v>0</v>
      </c>
      <c r="CO365" s="363">
        <v>0</v>
      </c>
      <c r="CP365" s="363">
        <v>0</v>
      </c>
      <c r="CQ365" s="363">
        <v>0</v>
      </c>
      <c r="CR365" s="363">
        <v>0</v>
      </c>
      <c r="CS365" s="363">
        <v>0</v>
      </c>
      <c r="CT365" s="363">
        <v>0</v>
      </c>
      <c r="CU365" s="363">
        <v>0</v>
      </c>
      <c r="CV365" s="363">
        <v>0</v>
      </c>
      <c r="CW365" s="363">
        <v>0</v>
      </c>
      <c r="CX365" s="363">
        <v>0</v>
      </c>
      <c r="CY365" s="363">
        <v>0</v>
      </c>
      <c r="CZ365" s="363">
        <v>0</v>
      </c>
      <c r="DA365" s="363">
        <v>0</v>
      </c>
      <c r="DB365" s="363">
        <v>0</v>
      </c>
      <c r="DC365" s="363">
        <v>0</v>
      </c>
      <c r="DD365" s="363">
        <v>0</v>
      </c>
      <c r="DE365" s="363">
        <v>0</v>
      </c>
      <c r="DF365" s="363">
        <v>0</v>
      </c>
      <c r="DG365" s="363">
        <v>0</v>
      </c>
      <c r="DH365" s="363">
        <v>0</v>
      </c>
      <c r="DI365" s="363">
        <v>0</v>
      </c>
      <c r="DJ365" s="363">
        <v>0</v>
      </c>
      <c r="DK365" s="363">
        <v>0</v>
      </c>
      <c r="DL365" s="363">
        <v>0</v>
      </c>
      <c r="DM365" s="363">
        <v>0</v>
      </c>
      <c r="DN365" s="363">
        <v>0</v>
      </c>
      <c r="DO365" s="363">
        <v>0</v>
      </c>
      <c r="DP365" s="363">
        <v>0</v>
      </c>
      <c r="DQ365" s="363">
        <v>0</v>
      </c>
      <c r="DR365" s="363">
        <v>0</v>
      </c>
      <c r="DS365" s="363">
        <v>0</v>
      </c>
      <c r="DT365" s="363">
        <v>0</v>
      </c>
      <c r="DU365" s="363">
        <v>0</v>
      </c>
      <c r="DV365" s="363">
        <v>0</v>
      </c>
      <c r="DW365" s="544">
        <f t="shared" si="38"/>
        <v>0</v>
      </c>
      <c r="DX365" s="858"/>
      <c r="DY365" s="705"/>
      <c r="DZ365" s="871"/>
      <c r="EA365" s="873"/>
      <c r="EB365" s="859"/>
      <c r="EC365" s="859"/>
      <c r="ED365" s="859"/>
      <c r="EE365" s="859"/>
      <c r="EF365" s="861"/>
      <c r="EG365" s="1106"/>
      <c r="EI365" s="858"/>
      <c r="EJ365" s="877"/>
      <c r="ER365" s="497"/>
    </row>
    <row r="366" spans="1:148" s="278" customFormat="1" ht="12.75" outlineLevel="2" thickBot="1" x14ac:dyDescent="0.25">
      <c r="A366" s="894"/>
      <c r="B366" s="887"/>
      <c r="C366" s="904"/>
      <c r="D366" s="865"/>
      <c r="E366" s="868"/>
      <c r="F366" s="315" t="s">
        <v>211</v>
      </c>
      <c r="G366" s="364">
        <v>0</v>
      </c>
      <c r="H366" s="364">
        <v>0</v>
      </c>
      <c r="I366" s="364">
        <v>0</v>
      </c>
      <c r="J366" s="364">
        <v>0</v>
      </c>
      <c r="K366" s="364">
        <v>0</v>
      </c>
      <c r="L366" s="364">
        <v>0</v>
      </c>
      <c r="M366" s="364">
        <v>0</v>
      </c>
      <c r="N366" s="364">
        <v>0</v>
      </c>
      <c r="O366" s="364">
        <v>0</v>
      </c>
      <c r="P366" s="364">
        <v>0</v>
      </c>
      <c r="Q366" s="364">
        <v>0</v>
      </c>
      <c r="R366" s="364">
        <v>0</v>
      </c>
      <c r="S366" s="364">
        <v>0</v>
      </c>
      <c r="T366" s="364">
        <v>0</v>
      </c>
      <c r="U366" s="364">
        <v>0</v>
      </c>
      <c r="V366" s="364">
        <v>0</v>
      </c>
      <c r="W366" s="364">
        <v>0</v>
      </c>
      <c r="X366" s="364">
        <v>0</v>
      </c>
      <c r="Y366" s="364">
        <v>0</v>
      </c>
      <c r="Z366" s="364">
        <v>0</v>
      </c>
      <c r="AA366" s="364">
        <v>0</v>
      </c>
      <c r="AB366" s="364">
        <v>0</v>
      </c>
      <c r="AC366" s="364">
        <v>0</v>
      </c>
      <c r="AD366" s="364">
        <v>0</v>
      </c>
      <c r="AE366" s="364">
        <v>0</v>
      </c>
      <c r="AF366" s="364">
        <v>0</v>
      </c>
      <c r="AG366" s="364">
        <v>0</v>
      </c>
      <c r="AH366" s="364">
        <v>0</v>
      </c>
      <c r="AI366" s="364">
        <v>0</v>
      </c>
      <c r="AJ366" s="364">
        <v>0</v>
      </c>
      <c r="AK366" s="364">
        <v>0</v>
      </c>
      <c r="AL366" s="364">
        <v>0</v>
      </c>
      <c r="AM366" s="364">
        <v>0</v>
      </c>
      <c r="AN366" s="364">
        <v>0</v>
      </c>
      <c r="AO366" s="364">
        <v>0</v>
      </c>
      <c r="AP366" s="364">
        <v>0</v>
      </c>
      <c r="AQ366" s="364">
        <v>0</v>
      </c>
      <c r="AR366" s="364">
        <v>0</v>
      </c>
      <c r="AS366" s="364">
        <v>0</v>
      </c>
      <c r="AT366" s="364">
        <v>0</v>
      </c>
      <c r="AU366" s="364">
        <v>0</v>
      </c>
      <c r="AV366" s="364">
        <v>0</v>
      </c>
      <c r="AW366" s="364">
        <v>0</v>
      </c>
      <c r="AX366" s="364">
        <v>0</v>
      </c>
      <c r="AY366" s="364">
        <v>0</v>
      </c>
      <c r="AZ366" s="364">
        <v>0</v>
      </c>
      <c r="BA366" s="364">
        <v>0</v>
      </c>
      <c r="BB366" s="364">
        <v>0</v>
      </c>
      <c r="BC366" s="363">
        <v>0</v>
      </c>
      <c r="BD366" s="363">
        <v>0</v>
      </c>
      <c r="BE366" s="363">
        <v>0</v>
      </c>
      <c r="BF366" s="363">
        <v>0</v>
      </c>
      <c r="BG366" s="363">
        <v>0</v>
      </c>
      <c r="BH366" s="363">
        <v>0</v>
      </c>
      <c r="BI366" s="363">
        <v>0</v>
      </c>
      <c r="BJ366" s="363">
        <v>0</v>
      </c>
      <c r="BK366" s="363">
        <v>0</v>
      </c>
      <c r="BL366" s="363">
        <v>0</v>
      </c>
      <c r="BM366" s="363">
        <v>0</v>
      </c>
      <c r="BN366" s="363">
        <v>0</v>
      </c>
      <c r="BO366" s="363">
        <v>0</v>
      </c>
      <c r="BP366" s="363">
        <v>0</v>
      </c>
      <c r="BQ366" s="363">
        <v>0</v>
      </c>
      <c r="BR366" s="363">
        <v>0</v>
      </c>
      <c r="BS366" s="363">
        <v>0</v>
      </c>
      <c r="BT366" s="363">
        <v>0</v>
      </c>
      <c r="BU366" s="363">
        <v>0</v>
      </c>
      <c r="BV366" s="363">
        <v>0</v>
      </c>
      <c r="BW366" s="363">
        <v>0</v>
      </c>
      <c r="BX366" s="363">
        <v>0</v>
      </c>
      <c r="BY366" s="363">
        <v>0</v>
      </c>
      <c r="BZ366" s="363">
        <v>0</v>
      </c>
      <c r="CA366" s="363">
        <v>0</v>
      </c>
      <c r="CB366" s="363">
        <v>0</v>
      </c>
      <c r="CC366" s="363">
        <v>0</v>
      </c>
      <c r="CD366" s="363">
        <v>0</v>
      </c>
      <c r="CE366" s="363">
        <v>0</v>
      </c>
      <c r="CF366" s="363">
        <v>0</v>
      </c>
      <c r="CG366" s="363">
        <v>0</v>
      </c>
      <c r="CH366" s="363">
        <v>0</v>
      </c>
      <c r="CI366" s="363">
        <v>0</v>
      </c>
      <c r="CJ366" s="363">
        <v>0</v>
      </c>
      <c r="CK366" s="363">
        <v>0</v>
      </c>
      <c r="CL366" s="363">
        <v>0</v>
      </c>
      <c r="CM366" s="363">
        <v>0</v>
      </c>
      <c r="CN366" s="363">
        <v>0</v>
      </c>
      <c r="CO366" s="363">
        <v>0</v>
      </c>
      <c r="CP366" s="363">
        <v>0</v>
      </c>
      <c r="CQ366" s="363">
        <v>0</v>
      </c>
      <c r="CR366" s="363">
        <v>0</v>
      </c>
      <c r="CS366" s="363">
        <v>0</v>
      </c>
      <c r="CT366" s="363">
        <v>0</v>
      </c>
      <c r="CU366" s="363">
        <v>0</v>
      </c>
      <c r="CV366" s="363">
        <v>0</v>
      </c>
      <c r="CW366" s="363">
        <v>0</v>
      </c>
      <c r="CX366" s="363">
        <v>0</v>
      </c>
      <c r="CY366" s="363">
        <v>0</v>
      </c>
      <c r="CZ366" s="363">
        <v>0</v>
      </c>
      <c r="DA366" s="363">
        <v>0</v>
      </c>
      <c r="DB366" s="363">
        <v>0</v>
      </c>
      <c r="DC366" s="363">
        <v>0</v>
      </c>
      <c r="DD366" s="363">
        <v>0</v>
      </c>
      <c r="DE366" s="363">
        <v>0</v>
      </c>
      <c r="DF366" s="363">
        <v>0</v>
      </c>
      <c r="DG366" s="363">
        <v>0</v>
      </c>
      <c r="DH366" s="363">
        <v>0</v>
      </c>
      <c r="DI366" s="363">
        <v>0</v>
      </c>
      <c r="DJ366" s="363">
        <v>0</v>
      </c>
      <c r="DK366" s="363">
        <v>0</v>
      </c>
      <c r="DL366" s="363">
        <v>0</v>
      </c>
      <c r="DM366" s="363">
        <v>0</v>
      </c>
      <c r="DN366" s="363">
        <v>0</v>
      </c>
      <c r="DO366" s="363">
        <v>0</v>
      </c>
      <c r="DP366" s="363">
        <v>0</v>
      </c>
      <c r="DQ366" s="363">
        <v>0</v>
      </c>
      <c r="DR366" s="364">
        <v>0</v>
      </c>
      <c r="DS366" s="364">
        <v>0</v>
      </c>
      <c r="DT366" s="364">
        <v>0</v>
      </c>
      <c r="DU366" s="364">
        <v>0</v>
      </c>
      <c r="DV366" s="364">
        <v>0</v>
      </c>
      <c r="DW366" s="545">
        <f t="shared" si="38"/>
        <v>0</v>
      </c>
      <c r="DX366" s="858"/>
      <c r="DY366" s="706"/>
      <c r="DZ366" s="872"/>
      <c r="EA366" s="873"/>
      <c r="EB366" s="859"/>
      <c r="EC366" s="859"/>
      <c r="ED366" s="859"/>
      <c r="EE366" s="859"/>
      <c r="EF366" s="861"/>
      <c r="EG366" s="1107"/>
      <c r="EI366" s="858"/>
      <c r="EJ366" s="877"/>
      <c r="ER366" s="497"/>
    </row>
    <row r="367" spans="1:148" s="278" customFormat="1" ht="24" outlineLevel="2" x14ac:dyDescent="0.2">
      <c r="A367" s="892"/>
      <c r="B367" s="897" t="s">
        <v>181</v>
      </c>
      <c r="C367" s="902">
        <v>5</v>
      </c>
      <c r="D367" s="863">
        <f>+IFERROR(VLOOKUP(B367,'Detalle Plan de Adquisiciones'!$G$95:$L$153,6,FALSE),0)</f>
        <v>0</v>
      </c>
      <c r="E367" s="866" t="str">
        <f>+'Detalle Plan de Adquisiciones'!F151</f>
        <v>INTERVENTORÍA TÉCNICA, ADMINISTRATIVA, FINANCIERA Y AMBIENTAL AL CONTRATO CUYO OBJETO ES: PARADERO CON ESPACIO PUBLICO 15 T 9 X C 6B</v>
      </c>
      <c r="F367" s="312" t="s">
        <v>410</v>
      </c>
      <c r="G367" s="354">
        <v>0</v>
      </c>
      <c r="H367" s="354">
        <v>0</v>
      </c>
      <c r="I367" s="354">
        <v>0</v>
      </c>
      <c r="J367" s="354">
        <v>0</v>
      </c>
      <c r="K367" s="354">
        <v>0</v>
      </c>
      <c r="L367" s="354">
        <v>0</v>
      </c>
      <c r="M367" s="354">
        <v>0</v>
      </c>
      <c r="N367" s="354">
        <v>0</v>
      </c>
      <c r="O367" s="354">
        <v>0</v>
      </c>
      <c r="P367" s="354">
        <v>0</v>
      </c>
      <c r="Q367" s="354">
        <v>0</v>
      </c>
      <c r="R367" s="354">
        <v>0</v>
      </c>
      <c r="S367" s="354">
        <v>0</v>
      </c>
      <c r="T367" s="354">
        <v>0</v>
      </c>
      <c r="U367" s="354">
        <v>0</v>
      </c>
      <c r="V367" s="354">
        <v>0</v>
      </c>
      <c r="W367" s="354">
        <v>0</v>
      </c>
      <c r="X367" s="354">
        <v>0</v>
      </c>
      <c r="Y367" s="354">
        <v>0</v>
      </c>
      <c r="Z367" s="354">
        <v>0</v>
      </c>
      <c r="AA367" s="354">
        <v>0</v>
      </c>
      <c r="AB367" s="354">
        <v>0</v>
      </c>
      <c r="AC367" s="354">
        <v>0</v>
      </c>
      <c r="AD367" s="354">
        <v>0</v>
      </c>
      <c r="AE367" s="354">
        <v>0</v>
      </c>
      <c r="AF367" s="354">
        <v>0</v>
      </c>
      <c r="AG367" s="354">
        <v>0</v>
      </c>
      <c r="AH367" s="354">
        <v>0</v>
      </c>
      <c r="AI367" s="354">
        <v>0</v>
      </c>
      <c r="AJ367" s="354">
        <v>0</v>
      </c>
      <c r="AK367" s="354">
        <v>0</v>
      </c>
      <c r="AL367" s="354">
        <v>0</v>
      </c>
      <c r="AM367" s="354">
        <v>0</v>
      </c>
      <c r="AN367" s="354">
        <v>0</v>
      </c>
      <c r="AO367" s="354">
        <v>0</v>
      </c>
      <c r="AP367" s="354">
        <v>0</v>
      </c>
      <c r="AQ367" s="354">
        <v>0</v>
      </c>
      <c r="AR367" s="354">
        <v>0</v>
      </c>
      <c r="AS367" s="354">
        <v>0</v>
      </c>
      <c r="AT367" s="354">
        <v>0</v>
      </c>
      <c r="AU367" s="354">
        <v>0</v>
      </c>
      <c r="AV367" s="354">
        <v>0</v>
      </c>
      <c r="AW367" s="354">
        <v>0</v>
      </c>
      <c r="AX367" s="354">
        <v>0</v>
      </c>
      <c r="AY367" s="354">
        <v>0</v>
      </c>
      <c r="AZ367" s="354">
        <v>0</v>
      </c>
      <c r="BA367" s="354">
        <v>0</v>
      </c>
      <c r="BB367" s="354">
        <v>0</v>
      </c>
      <c r="BC367" s="363">
        <v>0</v>
      </c>
      <c r="BD367" s="363">
        <v>0</v>
      </c>
      <c r="BE367" s="363">
        <v>0</v>
      </c>
      <c r="BF367" s="363">
        <v>0</v>
      </c>
      <c r="BG367" s="363">
        <v>0</v>
      </c>
      <c r="BH367" s="363">
        <v>0</v>
      </c>
      <c r="BI367" s="363">
        <v>0</v>
      </c>
      <c r="BJ367" s="363">
        <v>0</v>
      </c>
      <c r="BK367" s="363">
        <v>0</v>
      </c>
      <c r="BL367" s="363">
        <v>0</v>
      </c>
      <c r="BM367" s="363">
        <v>0</v>
      </c>
      <c r="BN367" s="363">
        <v>0</v>
      </c>
      <c r="BO367" s="363">
        <v>0</v>
      </c>
      <c r="BP367" s="363">
        <v>0</v>
      </c>
      <c r="BQ367" s="363">
        <v>0</v>
      </c>
      <c r="BR367" s="363">
        <v>0</v>
      </c>
      <c r="BS367" s="363">
        <v>0</v>
      </c>
      <c r="BT367" s="363">
        <v>0</v>
      </c>
      <c r="BU367" s="363">
        <v>0</v>
      </c>
      <c r="BV367" s="363">
        <v>0</v>
      </c>
      <c r="BW367" s="363">
        <v>0</v>
      </c>
      <c r="BX367" s="363">
        <v>0</v>
      </c>
      <c r="BY367" s="363">
        <v>0</v>
      </c>
      <c r="BZ367" s="363">
        <v>0</v>
      </c>
      <c r="CA367" s="363">
        <v>0</v>
      </c>
      <c r="CB367" s="363">
        <v>0</v>
      </c>
      <c r="CC367" s="363">
        <v>0</v>
      </c>
      <c r="CD367" s="363">
        <v>0</v>
      </c>
      <c r="CE367" s="363">
        <v>0</v>
      </c>
      <c r="CF367" s="363">
        <v>0</v>
      </c>
      <c r="CG367" s="363">
        <v>0</v>
      </c>
      <c r="CH367" s="363">
        <v>0</v>
      </c>
      <c r="CI367" s="363">
        <v>0</v>
      </c>
      <c r="CJ367" s="363">
        <v>0</v>
      </c>
      <c r="CK367" s="363">
        <v>0</v>
      </c>
      <c r="CL367" s="363">
        <v>0</v>
      </c>
      <c r="CM367" s="363">
        <v>0</v>
      </c>
      <c r="CN367" s="363">
        <v>0</v>
      </c>
      <c r="CO367" s="363">
        <v>0</v>
      </c>
      <c r="CP367" s="363">
        <v>0</v>
      </c>
      <c r="CQ367" s="363">
        <v>0</v>
      </c>
      <c r="CR367" s="363">
        <v>0</v>
      </c>
      <c r="CS367" s="363">
        <v>0</v>
      </c>
      <c r="CT367" s="363">
        <v>0</v>
      </c>
      <c r="CU367" s="363">
        <v>0</v>
      </c>
      <c r="CV367" s="363">
        <v>0</v>
      </c>
      <c r="CW367" s="363">
        <v>0</v>
      </c>
      <c r="CX367" s="363">
        <v>0</v>
      </c>
      <c r="CY367" s="363">
        <v>0</v>
      </c>
      <c r="CZ367" s="363">
        <v>0</v>
      </c>
      <c r="DA367" s="363">
        <v>0</v>
      </c>
      <c r="DB367" s="363">
        <v>0</v>
      </c>
      <c r="DC367" s="363">
        <v>0</v>
      </c>
      <c r="DD367" s="363">
        <v>0</v>
      </c>
      <c r="DE367" s="363">
        <v>0</v>
      </c>
      <c r="DF367" s="363">
        <v>0</v>
      </c>
      <c r="DG367" s="363">
        <v>0</v>
      </c>
      <c r="DH367" s="363">
        <v>0</v>
      </c>
      <c r="DI367" s="363">
        <v>0</v>
      </c>
      <c r="DJ367" s="363">
        <v>0</v>
      </c>
      <c r="DK367" s="363">
        <v>0</v>
      </c>
      <c r="DL367" s="363">
        <v>0</v>
      </c>
      <c r="DM367" s="363">
        <v>0</v>
      </c>
      <c r="DN367" s="363">
        <v>0</v>
      </c>
      <c r="DO367" s="363">
        <v>0</v>
      </c>
      <c r="DP367" s="363">
        <v>0</v>
      </c>
      <c r="DQ367" s="363">
        <v>0</v>
      </c>
      <c r="DR367" s="354">
        <v>0</v>
      </c>
      <c r="DS367" s="354">
        <v>0</v>
      </c>
      <c r="DT367" s="354">
        <v>0</v>
      </c>
      <c r="DU367" s="354">
        <v>0</v>
      </c>
      <c r="DV367" s="354">
        <v>0</v>
      </c>
      <c r="DW367" s="543">
        <f t="shared" si="38"/>
        <v>0</v>
      </c>
      <c r="DX367" s="858">
        <f>DW367+DW368+DW369</f>
        <v>0</v>
      </c>
      <c r="DY367" s="704">
        <f>+DX367*1000000</f>
        <v>0</v>
      </c>
      <c r="DZ367" s="870">
        <f>+DY367-D367</f>
        <v>0</v>
      </c>
      <c r="EA367" s="873">
        <f>VLOOKUP(POA!$B367,INTERPLAN,28,0)</f>
        <v>41188</v>
      </c>
      <c r="EB367" s="859">
        <f>+EDATE(EA367,C367)</f>
        <v>41339</v>
      </c>
      <c r="EC367" s="859">
        <f>EB367+30</f>
        <v>41369</v>
      </c>
      <c r="ED367" s="859" t="str">
        <f>CONCATENATE(MONTH(EA367),"-",YEAR(EA367))</f>
        <v>10-2012</v>
      </c>
      <c r="EE367" s="859" t="str">
        <f>CONCATENATE(MONTH(EB367),"-",YEAR(EB367))</f>
        <v>3-2013</v>
      </c>
      <c r="EF367" s="861" t="str">
        <f>CONCATENATE(MONTH(EC367),"-",YEAR(EC367))</f>
        <v>4-2013</v>
      </c>
      <c r="EG367" s="1105"/>
      <c r="EI367" s="858">
        <f>+DW367+DW368+DW369</f>
        <v>0</v>
      </c>
      <c r="EJ367" s="877">
        <f>+D367/1000000-EI367</f>
        <v>0</v>
      </c>
      <c r="ER367" s="497"/>
    </row>
    <row r="368" spans="1:148" s="278" customFormat="1" outlineLevel="2" x14ac:dyDescent="0.2">
      <c r="A368" s="893"/>
      <c r="B368" s="886"/>
      <c r="C368" s="903"/>
      <c r="D368" s="864"/>
      <c r="E368" s="867"/>
      <c r="F368" s="311" t="s">
        <v>210</v>
      </c>
      <c r="G368" s="363">
        <v>0</v>
      </c>
      <c r="H368" s="363">
        <v>0</v>
      </c>
      <c r="I368" s="363">
        <v>0</v>
      </c>
      <c r="J368" s="363">
        <v>0</v>
      </c>
      <c r="K368" s="363">
        <v>0</v>
      </c>
      <c r="L368" s="363">
        <v>0</v>
      </c>
      <c r="M368" s="363">
        <v>0</v>
      </c>
      <c r="N368" s="363">
        <v>0</v>
      </c>
      <c r="O368" s="363">
        <v>0</v>
      </c>
      <c r="P368" s="363">
        <v>0</v>
      </c>
      <c r="Q368" s="363">
        <v>0</v>
      </c>
      <c r="R368" s="363">
        <v>0</v>
      </c>
      <c r="S368" s="363">
        <v>0</v>
      </c>
      <c r="T368" s="363">
        <v>0</v>
      </c>
      <c r="U368" s="363">
        <v>0</v>
      </c>
      <c r="V368" s="363">
        <v>0</v>
      </c>
      <c r="W368" s="363">
        <v>0</v>
      </c>
      <c r="X368" s="363">
        <v>0</v>
      </c>
      <c r="Y368" s="363">
        <v>0</v>
      </c>
      <c r="Z368" s="363">
        <v>0</v>
      </c>
      <c r="AA368" s="363">
        <v>0</v>
      </c>
      <c r="AB368" s="363">
        <v>0</v>
      </c>
      <c r="AC368" s="363">
        <v>0</v>
      </c>
      <c r="AD368" s="363">
        <v>0</v>
      </c>
      <c r="AE368" s="363">
        <v>0</v>
      </c>
      <c r="AF368" s="363">
        <v>0</v>
      </c>
      <c r="AG368" s="363">
        <v>0</v>
      </c>
      <c r="AH368" s="363">
        <v>0</v>
      </c>
      <c r="AI368" s="363">
        <v>0</v>
      </c>
      <c r="AJ368" s="363">
        <v>0</v>
      </c>
      <c r="AK368" s="363">
        <v>0</v>
      </c>
      <c r="AL368" s="363">
        <v>0</v>
      </c>
      <c r="AM368" s="363">
        <v>0</v>
      </c>
      <c r="AN368" s="363">
        <v>0</v>
      </c>
      <c r="AO368" s="363">
        <v>0</v>
      </c>
      <c r="AP368" s="363">
        <v>0</v>
      </c>
      <c r="AQ368" s="363">
        <v>0</v>
      </c>
      <c r="AR368" s="363">
        <v>0</v>
      </c>
      <c r="AS368" s="363">
        <v>0</v>
      </c>
      <c r="AT368" s="363">
        <v>0</v>
      </c>
      <c r="AU368" s="363">
        <v>0</v>
      </c>
      <c r="AV368" s="363">
        <v>0</v>
      </c>
      <c r="AW368" s="363">
        <v>0</v>
      </c>
      <c r="AX368" s="363">
        <v>0</v>
      </c>
      <c r="AY368" s="363">
        <v>0</v>
      </c>
      <c r="AZ368" s="363">
        <v>0</v>
      </c>
      <c r="BA368" s="363">
        <v>0</v>
      </c>
      <c r="BB368" s="363">
        <v>0</v>
      </c>
      <c r="BC368" s="363">
        <v>0</v>
      </c>
      <c r="BD368" s="363">
        <v>0</v>
      </c>
      <c r="BE368" s="363">
        <v>0</v>
      </c>
      <c r="BF368" s="363">
        <v>0</v>
      </c>
      <c r="BG368" s="363">
        <v>0</v>
      </c>
      <c r="BH368" s="363">
        <v>0</v>
      </c>
      <c r="BI368" s="363">
        <v>0</v>
      </c>
      <c r="BJ368" s="363">
        <v>0</v>
      </c>
      <c r="BK368" s="363">
        <v>0</v>
      </c>
      <c r="BL368" s="363">
        <v>0</v>
      </c>
      <c r="BM368" s="363">
        <v>0</v>
      </c>
      <c r="BN368" s="363">
        <v>0</v>
      </c>
      <c r="BO368" s="363">
        <v>0</v>
      </c>
      <c r="BP368" s="363">
        <v>0</v>
      </c>
      <c r="BQ368" s="363">
        <v>0</v>
      </c>
      <c r="BR368" s="363">
        <v>0</v>
      </c>
      <c r="BS368" s="363">
        <v>0</v>
      </c>
      <c r="BT368" s="363">
        <v>0</v>
      </c>
      <c r="BU368" s="363">
        <v>0</v>
      </c>
      <c r="BV368" s="363">
        <v>0</v>
      </c>
      <c r="BW368" s="363">
        <v>0</v>
      </c>
      <c r="BX368" s="363">
        <v>0</v>
      </c>
      <c r="BY368" s="363">
        <v>0</v>
      </c>
      <c r="BZ368" s="363">
        <v>0</v>
      </c>
      <c r="CA368" s="363">
        <v>0</v>
      </c>
      <c r="CB368" s="363">
        <v>0</v>
      </c>
      <c r="CC368" s="363">
        <v>0</v>
      </c>
      <c r="CD368" s="363">
        <v>0</v>
      </c>
      <c r="CE368" s="363">
        <v>0</v>
      </c>
      <c r="CF368" s="363">
        <v>0</v>
      </c>
      <c r="CG368" s="363">
        <v>0</v>
      </c>
      <c r="CH368" s="363">
        <v>0</v>
      </c>
      <c r="CI368" s="363">
        <v>0</v>
      </c>
      <c r="CJ368" s="363">
        <v>0</v>
      </c>
      <c r="CK368" s="363">
        <v>0</v>
      </c>
      <c r="CL368" s="363">
        <v>0</v>
      </c>
      <c r="CM368" s="363">
        <v>0</v>
      </c>
      <c r="CN368" s="363">
        <v>0</v>
      </c>
      <c r="CO368" s="363">
        <v>0</v>
      </c>
      <c r="CP368" s="363">
        <v>0</v>
      </c>
      <c r="CQ368" s="363">
        <v>0</v>
      </c>
      <c r="CR368" s="363">
        <v>0</v>
      </c>
      <c r="CS368" s="363">
        <v>0</v>
      </c>
      <c r="CT368" s="363">
        <v>0</v>
      </c>
      <c r="CU368" s="363">
        <v>0</v>
      </c>
      <c r="CV368" s="363">
        <v>0</v>
      </c>
      <c r="CW368" s="363">
        <v>0</v>
      </c>
      <c r="CX368" s="363">
        <v>0</v>
      </c>
      <c r="CY368" s="363">
        <v>0</v>
      </c>
      <c r="CZ368" s="363">
        <v>0</v>
      </c>
      <c r="DA368" s="363">
        <v>0</v>
      </c>
      <c r="DB368" s="363">
        <v>0</v>
      </c>
      <c r="DC368" s="363">
        <v>0</v>
      </c>
      <c r="DD368" s="363">
        <v>0</v>
      </c>
      <c r="DE368" s="363">
        <v>0</v>
      </c>
      <c r="DF368" s="363">
        <v>0</v>
      </c>
      <c r="DG368" s="363">
        <v>0</v>
      </c>
      <c r="DH368" s="363">
        <v>0</v>
      </c>
      <c r="DI368" s="363">
        <v>0</v>
      </c>
      <c r="DJ368" s="363">
        <v>0</v>
      </c>
      <c r="DK368" s="363">
        <v>0</v>
      </c>
      <c r="DL368" s="363">
        <v>0</v>
      </c>
      <c r="DM368" s="363">
        <v>0</v>
      </c>
      <c r="DN368" s="363">
        <v>0</v>
      </c>
      <c r="DO368" s="363">
        <v>0</v>
      </c>
      <c r="DP368" s="363">
        <v>0</v>
      </c>
      <c r="DQ368" s="363">
        <v>0</v>
      </c>
      <c r="DR368" s="363">
        <v>0</v>
      </c>
      <c r="DS368" s="363">
        <v>0</v>
      </c>
      <c r="DT368" s="363">
        <v>0</v>
      </c>
      <c r="DU368" s="363">
        <v>0</v>
      </c>
      <c r="DV368" s="363">
        <v>0</v>
      </c>
      <c r="DW368" s="544">
        <f t="shared" si="38"/>
        <v>0</v>
      </c>
      <c r="DX368" s="858"/>
      <c r="DY368" s="705"/>
      <c r="DZ368" s="871"/>
      <c r="EA368" s="873"/>
      <c r="EB368" s="859"/>
      <c r="EC368" s="859"/>
      <c r="ED368" s="859"/>
      <c r="EE368" s="859"/>
      <c r="EF368" s="861"/>
      <c r="EG368" s="1106"/>
      <c r="EI368" s="858"/>
      <c r="EJ368" s="877"/>
      <c r="ER368" s="497"/>
    </row>
    <row r="369" spans="1:182" s="278" customFormat="1" ht="12.75" outlineLevel="2" thickBot="1" x14ac:dyDescent="0.25">
      <c r="A369" s="894"/>
      <c r="B369" s="887"/>
      <c r="C369" s="904"/>
      <c r="D369" s="865"/>
      <c r="E369" s="868"/>
      <c r="F369" s="315" t="s">
        <v>211</v>
      </c>
      <c r="G369" s="364">
        <v>0</v>
      </c>
      <c r="H369" s="364">
        <v>0</v>
      </c>
      <c r="I369" s="364">
        <v>0</v>
      </c>
      <c r="J369" s="364">
        <v>0</v>
      </c>
      <c r="K369" s="364">
        <v>0</v>
      </c>
      <c r="L369" s="364">
        <v>0</v>
      </c>
      <c r="M369" s="364">
        <v>0</v>
      </c>
      <c r="N369" s="364">
        <v>0</v>
      </c>
      <c r="O369" s="364">
        <v>0</v>
      </c>
      <c r="P369" s="364">
        <v>0</v>
      </c>
      <c r="Q369" s="364">
        <v>0</v>
      </c>
      <c r="R369" s="364">
        <v>0</v>
      </c>
      <c r="S369" s="364">
        <v>0</v>
      </c>
      <c r="T369" s="364">
        <v>0</v>
      </c>
      <c r="U369" s="364">
        <v>0</v>
      </c>
      <c r="V369" s="364">
        <v>0</v>
      </c>
      <c r="W369" s="364">
        <v>0</v>
      </c>
      <c r="X369" s="364">
        <v>0</v>
      </c>
      <c r="Y369" s="364">
        <v>0</v>
      </c>
      <c r="Z369" s="364">
        <v>0</v>
      </c>
      <c r="AA369" s="364">
        <v>0</v>
      </c>
      <c r="AB369" s="364">
        <v>0</v>
      </c>
      <c r="AC369" s="364">
        <v>0</v>
      </c>
      <c r="AD369" s="364">
        <v>0</v>
      </c>
      <c r="AE369" s="364">
        <v>0</v>
      </c>
      <c r="AF369" s="364">
        <v>0</v>
      </c>
      <c r="AG369" s="364">
        <v>0</v>
      </c>
      <c r="AH369" s="364">
        <v>0</v>
      </c>
      <c r="AI369" s="364">
        <v>0</v>
      </c>
      <c r="AJ369" s="364">
        <v>0</v>
      </c>
      <c r="AK369" s="364">
        <v>0</v>
      </c>
      <c r="AL369" s="364">
        <v>0</v>
      </c>
      <c r="AM369" s="364">
        <v>0</v>
      </c>
      <c r="AN369" s="364">
        <v>0</v>
      </c>
      <c r="AO369" s="364">
        <v>0</v>
      </c>
      <c r="AP369" s="364">
        <v>0</v>
      </c>
      <c r="AQ369" s="364">
        <v>0</v>
      </c>
      <c r="AR369" s="364">
        <v>0</v>
      </c>
      <c r="AS369" s="364">
        <v>0</v>
      </c>
      <c r="AT369" s="364">
        <v>0</v>
      </c>
      <c r="AU369" s="364">
        <v>0</v>
      </c>
      <c r="AV369" s="364">
        <v>0</v>
      </c>
      <c r="AW369" s="364">
        <v>0</v>
      </c>
      <c r="AX369" s="364">
        <v>0</v>
      </c>
      <c r="AY369" s="364">
        <v>0</v>
      </c>
      <c r="AZ369" s="364">
        <v>0</v>
      </c>
      <c r="BA369" s="364">
        <v>0</v>
      </c>
      <c r="BB369" s="364">
        <v>0</v>
      </c>
      <c r="BC369" s="364">
        <v>0</v>
      </c>
      <c r="BD369" s="364">
        <v>0</v>
      </c>
      <c r="BE369" s="364">
        <v>0</v>
      </c>
      <c r="BF369" s="364">
        <v>0</v>
      </c>
      <c r="BG369" s="364">
        <v>0</v>
      </c>
      <c r="BH369" s="364">
        <v>0</v>
      </c>
      <c r="BI369" s="364">
        <v>0</v>
      </c>
      <c r="BJ369" s="364">
        <v>0</v>
      </c>
      <c r="BK369" s="364">
        <v>0</v>
      </c>
      <c r="BL369" s="364">
        <v>0</v>
      </c>
      <c r="BM369" s="364">
        <v>0</v>
      </c>
      <c r="BN369" s="364">
        <v>0</v>
      </c>
      <c r="BO369" s="364">
        <v>0</v>
      </c>
      <c r="BP369" s="364">
        <v>0</v>
      </c>
      <c r="BQ369" s="364">
        <v>0</v>
      </c>
      <c r="BR369" s="364">
        <v>0</v>
      </c>
      <c r="BS369" s="364">
        <v>0</v>
      </c>
      <c r="BT369" s="364">
        <v>0</v>
      </c>
      <c r="BU369" s="364">
        <v>0</v>
      </c>
      <c r="BV369" s="364">
        <v>0</v>
      </c>
      <c r="BW369" s="364">
        <v>0</v>
      </c>
      <c r="BX369" s="364">
        <v>0</v>
      </c>
      <c r="BY369" s="364">
        <v>0</v>
      </c>
      <c r="BZ369" s="364">
        <v>0</v>
      </c>
      <c r="CA369" s="364">
        <v>0</v>
      </c>
      <c r="CB369" s="364">
        <v>0</v>
      </c>
      <c r="CC369" s="364">
        <v>0</v>
      </c>
      <c r="CD369" s="364">
        <v>0</v>
      </c>
      <c r="CE369" s="364">
        <v>0</v>
      </c>
      <c r="CF369" s="364">
        <v>0</v>
      </c>
      <c r="CG369" s="364">
        <v>0</v>
      </c>
      <c r="CH369" s="364">
        <v>0</v>
      </c>
      <c r="CI369" s="364">
        <v>0</v>
      </c>
      <c r="CJ369" s="364">
        <v>0</v>
      </c>
      <c r="CK369" s="364">
        <v>0</v>
      </c>
      <c r="CL369" s="364">
        <v>0</v>
      </c>
      <c r="CM369" s="364">
        <v>0</v>
      </c>
      <c r="CN369" s="364">
        <v>0</v>
      </c>
      <c r="CO369" s="364">
        <v>0</v>
      </c>
      <c r="CP369" s="364">
        <v>0</v>
      </c>
      <c r="CQ369" s="364">
        <v>0</v>
      </c>
      <c r="CR369" s="364">
        <v>0</v>
      </c>
      <c r="CS369" s="364">
        <v>0</v>
      </c>
      <c r="CT369" s="364">
        <v>0</v>
      </c>
      <c r="CU369" s="364">
        <v>0</v>
      </c>
      <c r="CV369" s="364">
        <v>0</v>
      </c>
      <c r="CW369" s="364">
        <v>0</v>
      </c>
      <c r="CX369" s="364">
        <v>0</v>
      </c>
      <c r="CY369" s="364">
        <v>0</v>
      </c>
      <c r="CZ369" s="364">
        <v>0</v>
      </c>
      <c r="DA369" s="364">
        <v>0</v>
      </c>
      <c r="DB369" s="364">
        <v>0</v>
      </c>
      <c r="DC369" s="364">
        <v>0</v>
      </c>
      <c r="DD369" s="364">
        <v>0</v>
      </c>
      <c r="DE369" s="364">
        <v>0</v>
      </c>
      <c r="DF369" s="364">
        <v>0</v>
      </c>
      <c r="DG369" s="364">
        <v>0</v>
      </c>
      <c r="DH369" s="364">
        <v>0</v>
      </c>
      <c r="DI369" s="364">
        <v>0</v>
      </c>
      <c r="DJ369" s="364">
        <v>0</v>
      </c>
      <c r="DK369" s="364">
        <v>0</v>
      </c>
      <c r="DL369" s="364">
        <v>0</v>
      </c>
      <c r="DM369" s="364">
        <v>0</v>
      </c>
      <c r="DN369" s="364">
        <v>0</v>
      </c>
      <c r="DO369" s="364">
        <v>0</v>
      </c>
      <c r="DP369" s="364">
        <v>0</v>
      </c>
      <c r="DQ369" s="364">
        <v>0</v>
      </c>
      <c r="DR369" s="364">
        <v>0</v>
      </c>
      <c r="DS369" s="364">
        <v>0</v>
      </c>
      <c r="DT369" s="364">
        <v>0</v>
      </c>
      <c r="DU369" s="364">
        <v>0</v>
      </c>
      <c r="DV369" s="364">
        <v>0</v>
      </c>
      <c r="DW369" s="545">
        <f t="shared" si="38"/>
        <v>0</v>
      </c>
      <c r="DX369" s="858"/>
      <c r="DY369" s="706"/>
      <c r="DZ369" s="872"/>
      <c r="EA369" s="873"/>
      <c r="EB369" s="859"/>
      <c r="EC369" s="859"/>
      <c r="ED369" s="859"/>
      <c r="EE369" s="859"/>
      <c r="EF369" s="861"/>
      <c r="EG369" s="1107"/>
      <c r="EI369" s="858"/>
      <c r="EJ369" s="877"/>
      <c r="ER369" s="497"/>
    </row>
    <row r="370" spans="1:182" s="278" customFormat="1" ht="24" outlineLevel="2" x14ac:dyDescent="0.2">
      <c r="A370" s="892"/>
      <c r="B370" s="897" t="s">
        <v>182</v>
      </c>
      <c r="C370" s="902">
        <v>5</v>
      </c>
      <c r="D370" s="863">
        <f>+IFERROR(VLOOKUP(B370,'Detalle Plan de Adquisiciones'!$G$95:$L$153,6,FALSE),0)</f>
        <v>0</v>
      </c>
      <c r="E370" s="866" t="str">
        <f>+'Detalle Plan de Adquisiciones'!F152</f>
        <v>INTERVENTORÍA TÉCNICA, ADMINISTRATIVA, FINANCIERA Y AMBIENTAL AL CONTRATO CUYO OBJETO ES: PARADERO CON ESPACIO PUBLICO 16 T 12 X C 6</v>
      </c>
      <c r="F370" s="526" t="s">
        <v>410</v>
      </c>
      <c r="G370" s="529">
        <v>0</v>
      </c>
      <c r="H370" s="354">
        <v>0</v>
      </c>
      <c r="I370" s="354">
        <v>0</v>
      </c>
      <c r="J370" s="354">
        <v>0</v>
      </c>
      <c r="K370" s="354">
        <v>0</v>
      </c>
      <c r="L370" s="354">
        <v>0</v>
      </c>
      <c r="M370" s="354">
        <v>0</v>
      </c>
      <c r="N370" s="354">
        <v>0</v>
      </c>
      <c r="O370" s="354">
        <v>0</v>
      </c>
      <c r="P370" s="354">
        <v>0</v>
      </c>
      <c r="Q370" s="354">
        <v>0</v>
      </c>
      <c r="R370" s="354">
        <v>0</v>
      </c>
      <c r="S370" s="354">
        <v>0</v>
      </c>
      <c r="T370" s="354">
        <v>0</v>
      </c>
      <c r="U370" s="354">
        <v>0</v>
      </c>
      <c r="V370" s="354">
        <v>0</v>
      </c>
      <c r="W370" s="354">
        <v>0</v>
      </c>
      <c r="X370" s="354">
        <v>0</v>
      </c>
      <c r="Y370" s="354">
        <v>0</v>
      </c>
      <c r="Z370" s="354">
        <v>0</v>
      </c>
      <c r="AA370" s="354">
        <v>0</v>
      </c>
      <c r="AB370" s="354">
        <v>0</v>
      </c>
      <c r="AC370" s="354">
        <v>0</v>
      </c>
      <c r="AD370" s="354">
        <v>0</v>
      </c>
      <c r="AE370" s="354">
        <v>0</v>
      </c>
      <c r="AF370" s="354">
        <v>0</v>
      </c>
      <c r="AG370" s="354">
        <v>0</v>
      </c>
      <c r="AH370" s="354">
        <v>0</v>
      </c>
      <c r="AI370" s="354">
        <v>0</v>
      </c>
      <c r="AJ370" s="354">
        <v>0</v>
      </c>
      <c r="AK370" s="354">
        <v>0</v>
      </c>
      <c r="AL370" s="354">
        <v>0</v>
      </c>
      <c r="AM370" s="354">
        <v>0</v>
      </c>
      <c r="AN370" s="354">
        <v>0</v>
      </c>
      <c r="AO370" s="354">
        <v>0</v>
      </c>
      <c r="AP370" s="354">
        <v>0</v>
      </c>
      <c r="AQ370" s="354">
        <v>0</v>
      </c>
      <c r="AR370" s="354">
        <v>0</v>
      </c>
      <c r="AS370" s="354">
        <v>0</v>
      </c>
      <c r="AT370" s="354">
        <v>0</v>
      </c>
      <c r="AU370" s="354">
        <v>0</v>
      </c>
      <c r="AV370" s="354">
        <v>0</v>
      </c>
      <c r="AW370" s="354">
        <v>0</v>
      </c>
      <c r="AX370" s="354">
        <v>0</v>
      </c>
      <c r="AY370" s="354">
        <v>0</v>
      </c>
      <c r="AZ370" s="354">
        <v>0</v>
      </c>
      <c r="BA370" s="354">
        <v>0</v>
      </c>
      <c r="BB370" s="354">
        <v>0</v>
      </c>
      <c r="BC370" s="354">
        <v>0</v>
      </c>
      <c r="BD370" s="354">
        <v>0</v>
      </c>
      <c r="BE370" s="354">
        <v>0</v>
      </c>
      <c r="BF370" s="354">
        <v>0</v>
      </c>
      <c r="BG370" s="354">
        <v>0</v>
      </c>
      <c r="BH370" s="354">
        <v>0</v>
      </c>
      <c r="BI370" s="354">
        <v>0</v>
      </c>
      <c r="BJ370" s="354">
        <v>0</v>
      </c>
      <c r="BK370" s="354">
        <v>0</v>
      </c>
      <c r="BL370" s="354">
        <v>0</v>
      </c>
      <c r="BM370" s="354">
        <v>0</v>
      </c>
      <c r="BN370" s="354">
        <v>0</v>
      </c>
      <c r="BO370" s="354">
        <v>0</v>
      </c>
      <c r="BP370" s="354">
        <v>0</v>
      </c>
      <c r="BQ370" s="354">
        <v>0</v>
      </c>
      <c r="BR370" s="354">
        <v>0</v>
      </c>
      <c r="BS370" s="354">
        <v>0</v>
      </c>
      <c r="BT370" s="354">
        <v>0</v>
      </c>
      <c r="BU370" s="354">
        <v>0</v>
      </c>
      <c r="BV370" s="354">
        <v>0</v>
      </c>
      <c r="BW370" s="354">
        <v>0</v>
      </c>
      <c r="BX370" s="354">
        <v>0</v>
      </c>
      <c r="BY370" s="354">
        <v>0</v>
      </c>
      <c r="BZ370" s="354">
        <v>0</v>
      </c>
      <c r="CA370" s="354">
        <v>0</v>
      </c>
      <c r="CB370" s="354">
        <v>0</v>
      </c>
      <c r="CC370" s="354">
        <v>0</v>
      </c>
      <c r="CD370" s="354">
        <v>0</v>
      </c>
      <c r="CE370" s="354">
        <v>0</v>
      </c>
      <c r="CF370" s="354">
        <v>0</v>
      </c>
      <c r="CG370" s="354">
        <v>0</v>
      </c>
      <c r="CH370" s="354">
        <v>0</v>
      </c>
      <c r="CI370" s="354">
        <v>0</v>
      </c>
      <c r="CJ370" s="354">
        <v>0</v>
      </c>
      <c r="CK370" s="354">
        <v>0</v>
      </c>
      <c r="CL370" s="354">
        <v>0</v>
      </c>
      <c r="CM370" s="354">
        <v>0</v>
      </c>
      <c r="CN370" s="354">
        <v>0</v>
      </c>
      <c r="CO370" s="354">
        <v>0</v>
      </c>
      <c r="CP370" s="354">
        <v>0</v>
      </c>
      <c r="CQ370" s="354">
        <v>0</v>
      </c>
      <c r="CR370" s="354">
        <v>0</v>
      </c>
      <c r="CS370" s="354">
        <v>0</v>
      </c>
      <c r="CT370" s="354">
        <v>0</v>
      </c>
      <c r="CU370" s="354">
        <v>0</v>
      </c>
      <c r="CV370" s="354">
        <v>0</v>
      </c>
      <c r="CW370" s="354">
        <v>0</v>
      </c>
      <c r="CX370" s="354">
        <v>0</v>
      </c>
      <c r="CY370" s="354">
        <v>0</v>
      </c>
      <c r="CZ370" s="354">
        <v>0</v>
      </c>
      <c r="DA370" s="354">
        <v>0</v>
      </c>
      <c r="DB370" s="354">
        <v>0</v>
      </c>
      <c r="DC370" s="354">
        <v>0</v>
      </c>
      <c r="DD370" s="354">
        <v>0</v>
      </c>
      <c r="DE370" s="354">
        <v>0</v>
      </c>
      <c r="DF370" s="354">
        <v>0</v>
      </c>
      <c r="DG370" s="354">
        <v>0</v>
      </c>
      <c r="DH370" s="354">
        <v>0</v>
      </c>
      <c r="DI370" s="354">
        <v>0</v>
      </c>
      <c r="DJ370" s="354">
        <v>0</v>
      </c>
      <c r="DK370" s="354">
        <v>0</v>
      </c>
      <c r="DL370" s="354">
        <v>0</v>
      </c>
      <c r="DM370" s="354">
        <v>0</v>
      </c>
      <c r="DN370" s="354">
        <v>0</v>
      </c>
      <c r="DO370" s="354">
        <v>0</v>
      </c>
      <c r="DP370" s="354">
        <v>0</v>
      </c>
      <c r="DQ370" s="354">
        <v>0</v>
      </c>
      <c r="DR370" s="354">
        <v>0</v>
      </c>
      <c r="DS370" s="354">
        <v>0</v>
      </c>
      <c r="DT370" s="354">
        <v>0</v>
      </c>
      <c r="DU370" s="354">
        <v>0</v>
      </c>
      <c r="DV370" s="354">
        <v>0</v>
      </c>
      <c r="DW370" s="543">
        <f t="shared" si="38"/>
        <v>0</v>
      </c>
      <c r="DX370" s="858">
        <f>DW370+DW371+DW372</f>
        <v>0</v>
      </c>
      <c r="DY370" s="704">
        <f>+DX370*1000000</f>
        <v>0</v>
      </c>
      <c r="DZ370" s="870">
        <f>+DY370-D370</f>
        <v>0</v>
      </c>
      <c r="EA370" s="873">
        <f>VLOOKUP(POA!$B370,INTERPLAN,28,0)</f>
        <v>41188</v>
      </c>
      <c r="EB370" s="859">
        <f>+EDATE(EA370,C370)</f>
        <v>41339</v>
      </c>
      <c r="EC370" s="859">
        <f>EB370+30</f>
        <v>41369</v>
      </c>
      <c r="ED370" s="859" t="str">
        <f>CONCATENATE(MONTH(EA370),"-",YEAR(EA370))</f>
        <v>10-2012</v>
      </c>
      <c r="EE370" s="859" t="str">
        <f>CONCATENATE(MONTH(EB370),"-",YEAR(EB370))</f>
        <v>3-2013</v>
      </c>
      <c r="EF370" s="861" t="str">
        <f>CONCATENATE(MONTH(EC370),"-",YEAR(EC370))</f>
        <v>4-2013</v>
      </c>
      <c r="EG370" s="1105"/>
      <c r="EI370" s="858">
        <f>+DW370+DW371+DW372</f>
        <v>0</v>
      </c>
      <c r="EJ370" s="877">
        <f>+D370/1000000-EI370</f>
        <v>0</v>
      </c>
      <c r="ER370" s="497"/>
    </row>
    <row r="371" spans="1:182" s="278" customFormat="1" outlineLevel="2" x14ac:dyDescent="0.2">
      <c r="A371" s="893"/>
      <c r="B371" s="886"/>
      <c r="C371" s="903"/>
      <c r="D371" s="864"/>
      <c r="E371" s="867"/>
      <c r="F371" s="527" t="s">
        <v>210</v>
      </c>
      <c r="G371" s="530">
        <v>0</v>
      </c>
      <c r="H371" s="363">
        <v>0</v>
      </c>
      <c r="I371" s="363">
        <v>0</v>
      </c>
      <c r="J371" s="363">
        <v>0</v>
      </c>
      <c r="K371" s="363">
        <v>0</v>
      </c>
      <c r="L371" s="363">
        <v>0</v>
      </c>
      <c r="M371" s="363">
        <v>0</v>
      </c>
      <c r="N371" s="363">
        <v>0</v>
      </c>
      <c r="O371" s="363">
        <v>0</v>
      </c>
      <c r="P371" s="363">
        <v>0</v>
      </c>
      <c r="Q371" s="363">
        <v>0</v>
      </c>
      <c r="R371" s="363">
        <v>0</v>
      </c>
      <c r="S371" s="363">
        <v>0</v>
      </c>
      <c r="T371" s="363">
        <v>0</v>
      </c>
      <c r="U371" s="363">
        <v>0</v>
      </c>
      <c r="V371" s="363">
        <v>0</v>
      </c>
      <c r="W371" s="363">
        <v>0</v>
      </c>
      <c r="X371" s="363">
        <v>0</v>
      </c>
      <c r="Y371" s="363">
        <v>0</v>
      </c>
      <c r="Z371" s="363">
        <v>0</v>
      </c>
      <c r="AA371" s="363">
        <v>0</v>
      </c>
      <c r="AB371" s="363">
        <v>0</v>
      </c>
      <c r="AC371" s="363">
        <v>0</v>
      </c>
      <c r="AD371" s="363">
        <v>0</v>
      </c>
      <c r="AE371" s="363">
        <v>0</v>
      </c>
      <c r="AF371" s="363">
        <v>0</v>
      </c>
      <c r="AG371" s="363">
        <v>0</v>
      </c>
      <c r="AH371" s="363">
        <v>0</v>
      </c>
      <c r="AI371" s="363">
        <v>0</v>
      </c>
      <c r="AJ371" s="363">
        <v>0</v>
      </c>
      <c r="AK371" s="363">
        <v>0</v>
      </c>
      <c r="AL371" s="363">
        <v>0</v>
      </c>
      <c r="AM371" s="363">
        <v>0</v>
      </c>
      <c r="AN371" s="363">
        <v>0</v>
      </c>
      <c r="AO371" s="363">
        <v>0</v>
      </c>
      <c r="AP371" s="363">
        <v>0</v>
      </c>
      <c r="AQ371" s="363">
        <v>0</v>
      </c>
      <c r="AR371" s="363">
        <v>0</v>
      </c>
      <c r="AS371" s="363">
        <v>0</v>
      </c>
      <c r="AT371" s="363">
        <v>0</v>
      </c>
      <c r="AU371" s="363">
        <v>0</v>
      </c>
      <c r="AV371" s="363">
        <v>0</v>
      </c>
      <c r="AW371" s="363">
        <v>0</v>
      </c>
      <c r="AX371" s="363">
        <v>0</v>
      </c>
      <c r="AY371" s="363">
        <v>0</v>
      </c>
      <c r="AZ371" s="363">
        <v>0</v>
      </c>
      <c r="BA371" s="363">
        <v>0</v>
      </c>
      <c r="BB371" s="363">
        <v>0</v>
      </c>
      <c r="BC371" s="363">
        <v>0</v>
      </c>
      <c r="BD371" s="363">
        <v>0</v>
      </c>
      <c r="BE371" s="363">
        <v>0</v>
      </c>
      <c r="BF371" s="363">
        <v>0</v>
      </c>
      <c r="BG371" s="363">
        <v>0</v>
      </c>
      <c r="BH371" s="363">
        <v>0</v>
      </c>
      <c r="BI371" s="363">
        <v>0</v>
      </c>
      <c r="BJ371" s="363">
        <v>0</v>
      </c>
      <c r="BK371" s="363">
        <v>0</v>
      </c>
      <c r="BL371" s="363">
        <v>0</v>
      </c>
      <c r="BM371" s="363">
        <v>0</v>
      </c>
      <c r="BN371" s="363">
        <v>0</v>
      </c>
      <c r="BO371" s="363">
        <v>0</v>
      </c>
      <c r="BP371" s="363">
        <v>0</v>
      </c>
      <c r="BQ371" s="363">
        <v>0</v>
      </c>
      <c r="BR371" s="363">
        <v>0</v>
      </c>
      <c r="BS371" s="363">
        <v>0</v>
      </c>
      <c r="BT371" s="363">
        <v>0</v>
      </c>
      <c r="BU371" s="363">
        <v>0</v>
      </c>
      <c r="BV371" s="363">
        <v>0</v>
      </c>
      <c r="BW371" s="363">
        <v>0</v>
      </c>
      <c r="BX371" s="363">
        <v>0</v>
      </c>
      <c r="BY371" s="363">
        <v>0</v>
      </c>
      <c r="BZ371" s="363">
        <v>0</v>
      </c>
      <c r="CA371" s="363">
        <v>0</v>
      </c>
      <c r="CB371" s="363">
        <v>0</v>
      </c>
      <c r="CC371" s="363">
        <v>0</v>
      </c>
      <c r="CD371" s="363">
        <v>0</v>
      </c>
      <c r="CE371" s="363">
        <v>0</v>
      </c>
      <c r="CF371" s="363">
        <v>0</v>
      </c>
      <c r="CG371" s="363">
        <v>0</v>
      </c>
      <c r="CH371" s="363">
        <v>0</v>
      </c>
      <c r="CI371" s="363">
        <v>0</v>
      </c>
      <c r="CJ371" s="363">
        <v>0</v>
      </c>
      <c r="CK371" s="363">
        <v>0</v>
      </c>
      <c r="CL371" s="363">
        <v>0</v>
      </c>
      <c r="CM371" s="363">
        <v>0</v>
      </c>
      <c r="CN371" s="363">
        <v>0</v>
      </c>
      <c r="CO371" s="363">
        <v>0</v>
      </c>
      <c r="CP371" s="363">
        <v>0</v>
      </c>
      <c r="CQ371" s="363">
        <v>0</v>
      </c>
      <c r="CR371" s="363">
        <v>0</v>
      </c>
      <c r="CS371" s="363">
        <v>0</v>
      </c>
      <c r="CT371" s="363">
        <v>0</v>
      </c>
      <c r="CU371" s="363">
        <v>0</v>
      </c>
      <c r="CV371" s="363">
        <v>0</v>
      </c>
      <c r="CW371" s="363">
        <v>0</v>
      </c>
      <c r="CX371" s="363">
        <v>0</v>
      </c>
      <c r="CY371" s="363">
        <v>0</v>
      </c>
      <c r="CZ371" s="363">
        <v>0</v>
      </c>
      <c r="DA371" s="363">
        <v>0</v>
      </c>
      <c r="DB371" s="363">
        <v>0</v>
      </c>
      <c r="DC371" s="363">
        <v>0</v>
      </c>
      <c r="DD371" s="363">
        <v>0</v>
      </c>
      <c r="DE371" s="363">
        <v>0</v>
      </c>
      <c r="DF371" s="363">
        <v>0</v>
      </c>
      <c r="DG371" s="363">
        <v>0</v>
      </c>
      <c r="DH371" s="363">
        <v>0</v>
      </c>
      <c r="DI371" s="363">
        <v>0</v>
      </c>
      <c r="DJ371" s="363">
        <v>0</v>
      </c>
      <c r="DK371" s="363">
        <v>0</v>
      </c>
      <c r="DL371" s="363">
        <v>0</v>
      </c>
      <c r="DM371" s="363">
        <v>0</v>
      </c>
      <c r="DN371" s="363">
        <v>0</v>
      </c>
      <c r="DO371" s="363">
        <v>0</v>
      </c>
      <c r="DP371" s="363">
        <v>0</v>
      </c>
      <c r="DQ371" s="363">
        <v>0</v>
      </c>
      <c r="DR371" s="363">
        <v>0</v>
      </c>
      <c r="DS371" s="363">
        <v>0</v>
      </c>
      <c r="DT371" s="363">
        <v>0</v>
      </c>
      <c r="DU371" s="363">
        <v>0</v>
      </c>
      <c r="DV371" s="363">
        <v>0</v>
      </c>
      <c r="DW371" s="544">
        <f t="shared" si="38"/>
        <v>0</v>
      </c>
      <c r="DX371" s="858"/>
      <c r="DY371" s="705"/>
      <c r="DZ371" s="871"/>
      <c r="EA371" s="873"/>
      <c r="EB371" s="859"/>
      <c r="EC371" s="859"/>
      <c r="ED371" s="859"/>
      <c r="EE371" s="859"/>
      <c r="EF371" s="861"/>
      <c r="EG371" s="1106"/>
      <c r="EI371" s="858"/>
      <c r="EJ371" s="877"/>
      <c r="ER371" s="497"/>
    </row>
    <row r="372" spans="1:182" s="278" customFormat="1" ht="12.75" outlineLevel="2" thickBot="1" x14ac:dyDescent="0.25">
      <c r="A372" s="894"/>
      <c r="B372" s="887"/>
      <c r="C372" s="904"/>
      <c r="D372" s="865"/>
      <c r="E372" s="868"/>
      <c r="F372" s="528" t="s">
        <v>211</v>
      </c>
      <c r="G372" s="531">
        <v>0</v>
      </c>
      <c r="H372" s="387">
        <v>0</v>
      </c>
      <c r="I372" s="387">
        <v>0</v>
      </c>
      <c r="J372" s="387">
        <v>0</v>
      </c>
      <c r="K372" s="387">
        <v>0</v>
      </c>
      <c r="L372" s="387">
        <v>0</v>
      </c>
      <c r="M372" s="387">
        <v>0</v>
      </c>
      <c r="N372" s="387">
        <v>0</v>
      </c>
      <c r="O372" s="387">
        <v>0</v>
      </c>
      <c r="P372" s="387">
        <v>0</v>
      </c>
      <c r="Q372" s="387">
        <v>0</v>
      </c>
      <c r="R372" s="387">
        <v>0</v>
      </c>
      <c r="S372" s="387">
        <v>0</v>
      </c>
      <c r="T372" s="387">
        <v>0</v>
      </c>
      <c r="U372" s="387">
        <v>0</v>
      </c>
      <c r="V372" s="387">
        <v>0</v>
      </c>
      <c r="W372" s="387">
        <v>0</v>
      </c>
      <c r="X372" s="387">
        <v>0</v>
      </c>
      <c r="Y372" s="387">
        <v>0</v>
      </c>
      <c r="Z372" s="387">
        <v>0</v>
      </c>
      <c r="AA372" s="387">
        <v>0</v>
      </c>
      <c r="AB372" s="387">
        <v>0</v>
      </c>
      <c r="AC372" s="387">
        <v>0</v>
      </c>
      <c r="AD372" s="387">
        <v>0</v>
      </c>
      <c r="AE372" s="387">
        <v>0</v>
      </c>
      <c r="AF372" s="387">
        <v>0</v>
      </c>
      <c r="AG372" s="387">
        <v>0</v>
      </c>
      <c r="AH372" s="387">
        <v>0</v>
      </c>
      <c r="AI372" s="387">
        <v>0</v>
      </c>
      <c r="AJ372" s="387">
        <v>0</v>
      </c>
      <c r="AK372" s="387">
        <v>0</v>
      </c>
      <c r="AL372" s="387">
        <v>0</v>
      </c>
      <c r="AM372" s="387">
        <v>0</v>
      </c>
      <c r="AN372" s="387">
        <v>0</v>
      </c>
      <c r="AO372" s="387">
        <v>0</v>
      </c>
      <c r="AP372" s="387">
        <v>0</v>
      </c>
      <c r="AQ372" s="387">
        <v>0</v>
      </c>
      <c r="AR372" s="387">
        <v>0</v>
      </c>
      <c r="AS372" s="387">
        <v>0</v>
      </c>
      <c r="AT372" s="387">
        <v>0</v>
      </c>
      <c r="AU372" s="387">
        <v>0</v>
      </c>
      <c r="AV372" s="387">
        <v>0</v>
      </c>
      <c r="AW372" s="387">
        <v>0</v>
      </c>
      <c r="AX372" s="387">
        <v>0</v>
      </c>
      <c r="AY372" s="387">
        <v>0</v>
      </c>
      <c r="AZ372" s="387">
        <v>0</v>
      </c>
      <c r="BA372" s="387">
        <v>0</v>
      </c>
      <c r="BB372" s="387">
        <v>0</v>
      </c>
      <c r="BC372" s="387">
        <v>0</v>
      </c>
      <c r="BD372" s="387">
        <v>0</v>
      </c>
      <c r="BE372" s="387">
        <v>0</v>
      </c>
      <c r="BF372" s="387">
        <v>0</v>
      </c>
      <c r="BG372" s="387">
        <v>0</v>
      </c>
      <c r="BH372" s="387">
        <v>0</v>
      </c>
      <c r="BI372" s="387">
        <v>0</v>
      </c>
      <c r="BJ372" s="387">
        <v>0</v>
      </c>
      <c r="BK372" s="387">
        <v>0</v>
      </c>
      <c r="BL372" s="387">
        <v>0</v>
      </c>
      <c r="BM372" s="387">
        <v>0</v>
      </c>
      <c r="BN372" s="387">
        <v>0</v>
      </c>
      <c r="BO372" s="387">
        <v>0</v>
      </c>
      <c r="BP372" s="387">
        <v>0</v>
      </c>
      <c r="BQ372" s="387">
        <v>0</v>
      </c>
      <c r="BR372" s="387">
        <v>0</v>
      </c>
      <c r="BS372" s="387">
        <v>0</v>
      </c>
      <c r="BT372" s="387">
        <v>0</v>
      </c>
      <c r="BU372" s="387">
        <v>0</v>
      </c>
      <c r="BV372" s="387">
        <v>0</v>
      </c>
      <c r="BW372" s="387">
        <v>0</v>
      </c>
      <c r="BX372" s="387">
        <v>0</v>
      </c>
      <c r="BY372" s="387">
        <v>0</v>
      </c>
      <c r="BZ372" s="387">
        <v>0</v>
      </c>
      <c r="CA372" s="387">
        <v>0</v>
      </c>
      <c r="CB372" s="387">
        <v>0</v>
      </c>
      <c r="CC372" s="387">
        <v>0</v>
      </c>
      <c r="CD372" s="387">
        <v>0</v>
      </c>
      <c r="CE372" s="387">
        <v>0</v>
      </c>
      <c r="CF372" s="387">
        <v>0</v>
      </c>
      <c r="CG372" s="387">
        <v>0</v>
      </c>
      <c r="CH372" s="387">
        <v>0</v>
      </c>
      <c r="CI372" s="387">
        <v>0</v>
      </c>
      <c r="CJ372" s="387">
        <v>0</v>
      </c>
      <c r="CK372" s="387">
        <v>0</v>
      </c>
      <c r="CL372" s="387">
        <v>0</v>
      </c>
      <c r="CM372" s="387">
        <v>0</v>
      </c>
      <c r="CN372" s="387">
        <v>0</v>
      </c>
      <c r="CO372" s="387">
        <v>0</v>
      </c>
      <c r="CP372" s="387">
        <v>0</v>
      </c>
      <c r="CQ372" s="387">
        <v>0</v>
      </c>
      <c r="CR372" s="387">
        <v>0</v>
      </c>
      <c r="CS372" s="387">
        <v>0</v>
      </c>
      <c r="CT372" s="387">
        <v>0</v>
      </c>
      <c r="CU372" s="387">
        <v>0</v>
      </c>
      <c r="CV372" s="387">
        <v>0</v>
      </c>
      <c r="CW372" s="387">
        <v>0</v>
      </c>
      <c r="CX372" s="387">
        <v>0</v>
      </c>
      <c r="CY372" s="387">
        <v>0</v>
      </c>
      <c r="CZ372" s="387">
        <v>0</v>
      </c>
      <c r="DA372" s="387">
        <v>0</v>
      </c>
      <c r="DB372" s="387">
        <v>0</v>
      </c>
      <c r="DC372" s="387">
        <v>0</v>
      </c>
      <c r="DD372" s="387">
        <v>0</v>
      </c>
      <c r="DE372" s="387">
        <v>0</v>
      </c>
      <c r="DF372" s="387">
        <v>0</v>
      </c>
      <c r="DG372" s="387">
        <v>0</v>
      </c>
      <c r="DH372" s="387">
        <v>0</v>
      </c>
      <c r="DI372" s="387">
        <v>0</v>
      </c>
      <c r="DJ372" s="387">
        <v>0</v>
      </c>
      <c r="DK372" s="387">
        <v>0</v>
      </c>
      <c r="DL372" s="387">
        <v>0</v>
      </c>
      <c r="DM372" s="387">
        <v>0</v>
      </c>
      <c r="DN372" s="387">
        <v>0</v>
      </c>
      <c r="DO372" s="387">
        <v>0</v>
      </c>
      <c r="DP372" s="387">
        <v>0</v>
      </c>
      <c r="DQ372" s="387">
        <v>0</v>
      </c>
      <c r="DR372" s="387">
        <v>0</v>
      </c>
      <c r="DS372" s="387">
        <v>0</v>
      </c>
      <c r="DT372" s="387">
        <v>0</v>
      </c>
      <c r="DU372" s="387">
        <v>0</v>
      </c>
      <c r="DV372" s="387">
        <v>0</v>
      </c>
      <c r="DW372" s="545">
        <f t="shared" si="38"/>
        <v>0</v>
      </c>
      <c r="DX372" s="858"/>
      <c r="DY372" s="706"/>
      <c r="DZ372" s="872"/>
      <c r="EA372" s="873"/>
      <c r="EB372" s="859"/>
      <c r="EC372" s="859"/>
      <c r="ED372" s="859"/>
      <c r="EE372" s="859"/>
      <c r="EF372" s="861"/>
      <c r="EG372" s="1107"/>
      <c r="EI372" s="858"/>
      <c r="EJ372" s="877"/>
      <c r="ER372" s="497"/>
    </row>
    <row r="373" spans="1:182" s="278" customFormat="1" ht="24" outlineLevel="2" x14ac:dyDescent="0.2">
      <c r="A373" s="1069"/>
      <c r="B373" s="897" t="s">
        <v>190</v>
      </c>
      <c r="C373" s="902">
        <v>6</v>
      </c>
      <c r="D373" s="863">
        <f>+IFERROR(VLOOKUP(B373,'Detalle Plan de Adquisiciones'!$G$95:$L$153,6,FALSE),0)</f>
        <v>0</v>
      </c>
      <c r="E373" s="866" t="str">
        <f>+'Detalle Plan de Adquisiciones'!F153</f>
        <v>INTERVENTORÍA TÉCNICA, ADMINISTRATIVA, FINANCIERA Y AMBIENTAL AL CONTRATO CUYO OBJETO ES: CONSTRUCCIÓN DEL INTERCAMBIADOR VIAL EN LA K 1 X C 41, ID [IV-6].</v>
      </c>
      <c r="F373" s="312" t="s">
        <v>410</v>
      </c>
      <c r="G373" s="529">
        <v>0</v>
      </c>
      <c r="H373" s="354">
        <v>0</v>
      </c>
      <c r="I373" s="354">
        <v>0</v>
      </c>
      <c r="J373" s="354">
        <v>0</v>
      </c>
      <c r="K373" s="354">
        <v>0</v>
      </c>
      <c r="L373" s="354">
        <v>0</v>
      </c>
      <c r="M373" s="354">
        <v>0</v>
      </c>
      <c r="N373" s="354">
        <v>0</v>
      </c>
      <c r="O373" s="354">
        <v>0</v>
      </c>
      <c r="P373" s="354">
        <v>0</v>
      </c>
      <c r="Q373" s="354">
        <v>0</v>
      </c>
      <c r="R373" s="354">
        <v>0</v>
      </c>
      <c r="S373" s="354">
        <v>0</v>
      </c>
      <c r="T373" s="354">
        <v>0</v>
      </c>
      <c r="U373" s="354">
        <v>0</v>
      </c>
      <c r="V373" s="354">
        <v>0</v>
      </c>
      <c r="W373" s="354">
        <v>0</v>
      </c>
      <c r="X373" s="354">
        <v>0</v>
      </c>
      <c r="Y373" s="354">
        <v>0</v>
      </c>
      <c r="Z373" s="354">
        <v>0</v>
      </c>
      <c r="AA373" s="354">
        <v>0</v>
      </c>
      <c r="AB373" s="354">
        <v>0</v>
      </c>
      <c r="AC373" s="354">
        <v>0</v>
      </c>
      <c r="AD373" s="354">
        <v>0</v>
      </c>
      <c r="AE373" s="354">
        <v>0</v>
      </c>
      <c r="AF373" s="354">
        <v>0</v>
      </c>
      <c r="AG373" s="354">
        <v>0</v>
      </c>
      <c r="AH373" s="354">
        <v>0</v>
      </c>
      <c r="AI373" s="354">
        <v>0</v>
      </c>
      <c r="AJ373" s="354">
        <v>0</v>
      </c>
      <c r="AK373" s="354">
        <v>0</v>
      </c>
      <c r="AL373" s="354">
        <v>0</v>
      </c>
      <c r="AM373" s="354">
        <v>0</v>
      </c>
      <c r="AN373" s="354">
        <v>0</v>
      </c>
      <c r="AO373" s="354">
        <v>0</v>
      </c>
      <c r="AP373" s="354">
        <v>0</v>
      </c>
      <c r="AQ373" s="354">
        <v>0</v>
      </c>
      <c r="AR373" s="354">
        <v>0</v>
      </c>
      <c r="AS373" s="354">
        <v>0</v>
      </c>
      <c r="AT373" s="354">
        <v>0</v>
      </c>
      <c r="AU373" s="354">
        <v>0</v>
      </c>
      <c r="AV373" s="354">
        <v>0</v>
      </c>
      <c r="AW373" s="354">
        <v>0</v>
      </c>
      <c r="AX373" s="354">
        <v>0</v>
      </c>
      <c r="AY373" s="354">
        <v>0</v>
      </c>
      <c r="AZ373" s="354">
        <v>0</v>
      </c>
      <c r="BA373" s="354">
        <v>0</v>
      </c>
      <c r="BB373" s="354">
        <v>0</v>
      </c>
      <c r="BC373" s="354">
        <v>0</v>
      </c>
      <c r="BD373" s="354">
        <v>0</v>
      </c>
      <c r="BE373" s="354">
        <v>0</v>
      </c>
      <c r="BF373" s="354">
        <v>0</v>
      </c>
      <c r="BG373" s="354">
        <v>0</v>
      </c>
      <c r="BH373" s="354">
        <v>0</v>
      </c>
      <c r="BI373" s="354">
        <v>0</v>
      </c>
      <c r="BJ373" s="354">
        <v>0</v>
      </c>
      <c r="BK373" s="354">
        <v>0</v>
      </c>
      <c r="BL373" s="354">
        <v>0</v>
      </c>
      <c r="BM373" s="354">
        <v>0</v>
      </c>
      <c r="BN373" s="354">
        <v>0</v>
      </c>
      <c r="BO373" s="354">
        <v>0</v>
      </c>
      <c r="BP373" s="354">
        <v>0</v>
      </c>
      <c r="BQ373" s="354">
        <v>0</v>
      </c>
      <c r="BR373" s="354">
        <v>0</v>
      </c>
      <c r="BS373" s="354">
        <v>0</v>
      </c>
      <c r="BT373" s="354">
        <v>0</v>
      </c>
      <c r="BU373" s="354">
        <v>0</v>
      </c>
      <c r="BV373" s="354">
        <v>0</v>
      </c>
      <c r="BW373" s="354">
        <v>0</v>
      </c>
      <c r="BX373" s="354">
        <v>0</v>
      </c>
      <c r="BY373" s="354">
        <v>0</v>
      </c>
      <c r="BZ373" s="354">
        <v>0</v>
      </c>
      <c r="CA373" s="354">
        <v>0</v>
      </c>
      <c r="CB373" s="354">
        <v>0</v>
      </c>
      <c r="CC373" s="354">
        <v>0</v>
      </c>
      <c r="CD373" s="354">
        <v>0</v>
      </c>
      <c r="CE373" s="354">
        <v>0</v>
      </c>
      <c r="CF373" s="354">
        <v>0</v>
      </c>
      <c r="CG373" s="354">
        <v>0</v>
      </c>
      <c r="CH373" s="354">
        <v>0</v>
      </c>
      <c r="CI373" s="354">
        <v>0</v>
      </c>
      <c r="CJ373" s="354">
        <v>0</v>
      </c>
      <c r="CK373" s="354">
        <v>0</v>
      </c>
      <c r="CL373" s="354">
        <v>0</v>
      </c>
      <c r="CM373" s="354">
        <v>0</v>
      </c>
      <c r="CN373" s="354">
        <v>0</v>
      </c>
      <c r="CO373" s="354">
        <v>0</v>
      </c>
      <c r="CP373" s="354">
        <v>0</v>
      </c>
      <c r="CQ373" s="354">
        <v>0</v>
      </c>
      <c r="CR373" s="354">
        <v>0</v>
      </c>
      <c r="CS373" s="354">
        <v>0</v>
      </c>
      <c r="CT373" s="354">
        <v>0</v>
      </c>
      <c r="CU373" s="354">
        <v>0</v>
      </c>
      <c r="CV373" s="354">
        <v>0</v>
      </c>
      <c r="CW373" s="354">
        <v>0</v>
      </c>
      <c r="CX373" s="354">
        <v>0</v>
      </c>
      <c r="CY373" s="354">
        <v>0</v>
      </c>
      <c r="CZ373" s="354">
        <v>0</v>
      </c>
      <c r="DA373" s="354">
        <v>0</v>
      </c>
      <c r="DB373" s="354">
        <v>0</v>
      </c>
      <c r="DC373" s="354">
        <v>0</v>
      </c>
      <c r="DD373" s="354">
        <v>0</v>
      </c>
      <c r="DE373" s="354">
        <v>0</v>
      </c>
      <c r="DF373" s="354">
        <v>0</v>
      </c>
      <c r="DG373" s="354">
        <v>0</v>
      </c>
      <c r="DH373" s="354">
        <v>0</v>
      </c>
      <c r="DI373" s="354">
        <v>0</v>
      </c>
      <c r="DJ373" s="354">
        <v>0</v>
      </c>
      <c r="DK373" s="354">
        <v>0</v>
      </c>
      <c r="DL373" s="354">
        <v>0</v>
      </c>
      <c r="DM373" s="354">
        <v>0</v>
      </c>
      <c r="DN373" s="354">
        <v>0</v>
      </c>
      <c r="DO373" s="354">
        <v>0</v>
      </c>
      <c r="DP373" s="354">
        <v>0</v>
      </c>
      <c r="DQ373" s="354">
        <v>0</v>
      </c>
      <c r="DR373" s="354">
        <v>0</v>
      </c>
      <c r="DS373" s="354">
        <v>0</v>
      </c>
      <c r="DT373" s="354">
        <v>0</v>
      </c>
      <c r="DU373" s="354">
        <v>0</v>
      </c>
      <c r="DV373" s="354">
        <v>0</v>
      </c>
      <c r="DW373" s="354">
        <f t="shared" si="38"/>
        <v>0</v>
      </c>
      <c r="DX373" s="858">
        <f>DW373+DW374+DW375</f>
        <v>0</v>
      </c>
      <c r="DY373" s="704">
        <f>+DX373*1000000</f>
        <v>0</v>
      </c>
      <c r="DZ373" s="870">
        <f>+DY373-D373</f>
        <v>0</v>
      </c>
      <c r="EA373" s="873" t="str">
        <f>VLOOKUP(POA!$B373,INTERPLAN,28,0)</f>
        <v>N/A</v>
      </c>
      <c r="EB373" s="859" t="e">
        <f>+EDATE(EA373,C373)</f>
        <v>#VALUE!</v>
      </c>
      <c r="EC373" s="859" t="e">
        <f>EB373+30</f>
        <v>#VALUE!</v>
      </c>
      <c r="ED373" s="859" t="e">
        <f>CONCATENATE(MONTH(EA373),"-",YEAR(EA373))</f>
        <v>#VALUE!</v>
      </c>
      <c r="EE373" s="859" t="e">
        <f>CONCATENATE(MONTH(EB373),"-",YEAR(EB373))</f>
        <v>#VALUE!</v>
      </c>
      <c r="EF373" s="861" t="e">
        <f>CONCATENATE(MONTH(EC373),"-",YEAR(EC373))</f>
        <v>#VALUE!</v>
      </c>
      <c r="EG373" s="1105"/>
      <c r="EI373" s="858">
        <f>+DW373+DW374+DW375</f>
        <v>0</v>
      </c>
      <c r="EJ373" s="877">
        <f>+D373/1000000-EI373</f>
        <v>0</v>
      </c>
      <c r="ER373" s="497"/>
    </row>
    <row r="374" spans="1:182" s="278" customFormat="1" outlineLevel="2" x14ac:dyDescent="0.2">
      <c r="A374" s="1070"/>
      <c r="B374" s="886"/>
      <c r="C374" s="903"/>
      <c r="D374" s="864"/>
      <c r="E374" s="867"/>
      <c r="F374" s="311" t="s">
        <v>210</v>
      </c>
      <c r="G374" s="530">
        <v>0</v>
      </c>
      <c r="H374" s="363">
        <v>0</v>
      </c>
      <c r="I374" s="363">
        <v>0</v>
      </c>
      <c r="J374" s="363">
        <v>0</v>
      </c>
      <c r="K374" s="363">
        <v>0</v>
      </c>
      <c r="L374" s="363">
        <v>0</v>
      </c>
      <c r="M374" s="363">
        <v>0</v>
      </c>
      <c r="N374" s="363">
        <v>0</v>
      </c>
      <c r="O374" s="363">
        <v>0</v>
      </c>
      <c r="P374" s="363">
        <v>0</v>
      </c>
      <c r="Q374" s="363">
        <v>0</v>
      </c>
      <c r="R374" s="363">
        <v>0</v>
      </c>
      <c r="S374" s="363">
        <v>0</v>
      </c>
      <c r="T374" s="363">
        <v>0</v>
      </c>
      <c r="U374" s="363">
        <v>0</v>
      </c>
      <c r="V374" s="363">
        <v>0</v>
      </c>
      <c r="W374" s="363">
        <v>0</v>
      </c>
      <c r="X374" s="363">
        <v>0</v>
      </c>
      <c r="Y374" s="363">
        <v>0</v>
      </c>
      <c r="Z374" s="363">
        <v>0</v>
      </c>
      <c r="AA374" s="363">
        <v>0</v>
      </c>
      <c r="AB374" s="363">
        <v>0</v>
      </c>
      <c r="AC374" s="363">
        <v>0</v>
      </c>
      <c r="AD374" s="363">
        <v>0</v>
      </c>
      <c r="AE374" s="363">
        <v>0</v>
      </c>
      <c r="AF374" s="363">
        <v>0</v>
      </c>
      <c r="AG374" s="363">
        <v>0</v>
      </c>
      <c r="AH374" s="363">
        <v>0</v>
      </c>
      <c r="AI374" s="363">
        <v>0</v>
      </c>
      <c r="AJ374" s="363">
        <v>0</v>
      </c>
      <c r="AK374" s="363">
        <v>0</v>
      </c>
      <c r="AL374" s="363">
        <v>0</v>
      </c>
      <c r="AM374" s="363">
        <v>0</v>
      </c>
      <c r="AN374" s="363">
        <v>0</v>
      </c>
      <c r="AO374" s="363">
        <v>0</v>
      </c>
      <c r="AP374" s="363">
        <v>0</v>
      </c>
      <c r="AQ374" s="363">
        <v>0</v>
      </c>
      <c r="AR374" s="363">
        <v>0</v>
      </c>
      <c r="AS374" s="363">
        <v>0</v>
      </c>
      <c r="AT374" s="363">
        <v>0</v>
      </c>
      <c r="AU374" s="363">
        <v>0</v>
      </c>
      <c r="AV374" s="363">
        <v>0</v>
      </c>
      <c r="AW374" s="363">
        <v>0</v>
      </c>
      <c r="AX374" s="363">
        <v>0</v>
      </c>
      <c r="AY374" s="363">
        <v>0</v>
      </c>
      <c r="AZ374" s="363">
        <v>0</v>
      </c>
      <c r="BA374" s="363">
        <v>0</v>
      </c>
      <c r="BB374" s="363">
        <v>0</v>
      </c>
      <c r="BC374" s="363">
        <v>0</v>
      </c>
      <c r="BD374" s="363">
        <v>0</v>
      </c>
      <c r="BE374" s="363">
        <v>0</v>
      </c>
      <c r="BF374" s="363">
        <v>0</v>
      </c>
      <c r="BG374" s="363">
        <v>0</v>
      </c>
      <c r="BH374" s="363">
        <v>0</v>
      </c>
      <c r="BI374" s="363">
        <v>0</v>
      </c>
      <c r="BJ374" s="363">
        <v>0</v>
      </c>
      <c r="BK374" s="363">
        <v>0</v>
      </c>
      <c r="BL374" s="363">
        <v>0</v>
      </c>
      <c r="BM374" s="363">
        <v>0</v>
      </c>
      <c r="BN374" s="363">
        <v>0</v>
      </c>
      <c r="BO374" s="363">
        <v>0</v>
      </c>
      <c r="BP374" s="363">
        <v>0</v>
      </c>
      <c r="BQ374" s="363">
        <v>0</v>
      </c>
      <c r="BR374" s="363">
        <v>0</v>
      </c>
      <c r="BS374" s="363">
        <v>0</v>
      </c>
      <c r="BT374" s="363">
        <v>0</v>
      </c>
      <c r="BU374" s="363">
        <v>0</v>
      </c>
      <c r="BV374" s="363">
        <v>0</v>
      </c>
      <c r="BW374" s="363">
        <v>0</v>
      </c>
      <c r="BX374" s="363">
        <v>0</v>
      </c>
      <c r="BY374" s="363">
        <v>0</v>
      </c>
      <c r="BZ374" s="363">
        <v>0</v>
      </c>
      <c r="CA374" s="363">
        <v>0</v>
      </c>
      <c r="CB374" s="363">
        <v>0</v>
      </c>
      <c r="CC374" s="363">
        <v>0</v>
      </c>
      <c r="CD374" s="363">
        <v>0</v>
      </c>
      <c r="CE374" s="363">
        <v>0</v>
      </c>
      <c r="CF374" s="363">
        <v>0</v>
      </c>
      <c r="CG374" s="363">
        <v>0</v>
      </c>
      <c r="CH374" s="363">
        <v>0</v>
      </c>
      <c r="CI374" s="363">
        <v>0</v>
      </c>
      <c r="CJ374" s="363">
        <v>0</v>
      </c>
      <c r="CK374" s="363">
        <v>0</v>
      </c>
      <c r="CL374" s="363">
        <v>0</v>
      </c>
      <c r="CM374" s="363">
        <v>0</v>
      </c>
      <c r="CN374" s="363">
        <v>0</v>
      </c>
      <c r="CO374" s="363">
        <v>0</v>
      </c>
      <c r="CP374" s="363">
        <v>0</v>
      </c>
      <c r="CQ374" s="363">
        <v>0</v>
      </c>
      <c r="CR374" s="363">
        <v>0</v>
      </c>
      <c r="CS374" s="363">
        <v>0</v>
      </c>
      <c r="CT374" s="363">
        <v>0</v>
      </c>
      <c r="CU374" s="363">
        <v>0</v>
      </c>
      <c r="CV374" s="363">
        <v>0</v>
      </c>
      <c r="CW374" s="363">
        <v>0</v>
      </c>
      <c r="CX374" s="363">
        <v>0</v>
      </c>
      <c r="CY374" s="363">
        <v>0</v>
      </c>
      <c r="CZ374" s="363">
        <v>0</v>
      </c>
      <c r="DA374" s="363">
        <v>0</v>
      </c>
      <c r="DB374" s="363">
        <v>0</v>
      </c>
      <c r="DC374" s="363">
        <v>0</v>
      </c>
      <c r="DD374" s="363">
        <v>0</v>
      </c>
      <c r="DE374" s="363">
        <v>0</v>
      </c>
      <c r="DF374" s="363">
        <v>0</v>
      </c>
      <c r="DG374" s="363">
        <v>0</v>
      </c>
      <c r="DH374" s="363">
        <v>0</v>
      </c>
      <c r="DI374" s="363">
        <v>0</v>
      </c>
      <c r="DJ374" s="363">
        <v>0</v>
      </c>
      <c r="DK374" s="363">
        <v>0</v>
      </c>
      <c r="DL374" s="363">
        <v>0</v>
      </c>
      <c r="DM374" s="363">
        <v>0</v>
      </c>
      <c r="DN374" s="363">
        <v>0</v>
      </c>
      <c r="DO374" s="363">
        <v>0</v>
      </c>
      <c r="DP374" s="363">
        <v>0</v>
      </c>
      <c r="DQ374" s="363">
        <v>0</v>
      </c>
      <c r="DR374" s="363">
        <v>0</v>
      </c>
      <c r="DS374" s="363">
        <v>0</v>
      </c>
      <c r="DT374" s="363">
        <v>0</v>
      </c>
      <c r="DU374" s="363">
        <v>0</v>
      </c>
      <c r="DV374" s="363">
        <v>0</v>
      </c>
      <c r="DW374" s="363">
        <f t="shared" si="38"/>
        <v>0</v>
      </c>
      <c r="DX374" s="858"/>
      <c r="DY374" s="705"/>
      <c r="DZ374" s="871"/>
      <c r="EA374" s="873"/>
      <c r="EB374" s="859"/>
      <c r="EC374" s="859"/>
      <c r="ED374" s="859"/>
      <c r="EE374" s="859"/>
      <c r="EF374" s="861"/>
      <c r="EG374" s="1106"/>
      <c r="EI374" s="858"/>
      <c r="EJ374" s="877"/>
      <c r="ER374" s="497"/>
    </row>
    <row r="375" spans="1:182" s="278" customFormat="1" ht="12.75" outlineLevel="2" thickBot="1" x14ac:dyDescent="0.25">
      <c r="A375" s="1071"/>
      <c r="B375" s="887"/>
      <c r="C375" s="904"/>
      <c r="D375" s="865"/>
      <c r="E375" s="868"/>
      <c r="F375" s="315" t="s">
        <v>211</v>
      </c>
      <c r="G375" s="561">
        <v>0</v>
      </c>
      <c r="H375" s="364">
        <v>0</v>
      </c>
      <c r="I375" s="364">
        <v>0</v>
      </c>
      <c r="J375" s="364">
        <v>0</v>
      </c>
      <c r="K375" s="364">
        <v>0</v>
      </c>
      <c r="L375" s="364">
        <v>0</v>
      </c>
      <c r="M375" s="364">
        <v>0</v>
      </c>
      <c r="N375" s="364">
        <v>0</v>
      </c>
      <c r="O375" s="364">
        <v>0</v>
      </c>
      <c r="P375" s="364">
        <v>0</v>
      </c>
      <c r="Q375" s="364">
        <v>0</v>
      </c>
      <c r="R375" s="364">
        <v>0</v>
      </c>
      <c r="S375" s="364">
        <v>0</v>
      </c>
      <c r="T375" s="364">
        <v>0</v>
      </c>
      <c r="U375" s="364">
        <v>0</v>
      </c>
      <c r="V375" s="364">
        <v>0</v>
      </c>
      <c r="W375" s="364">
        <v>0</v>
      </c>
      <c r="X375" s="364">
        <v>0</v>
      </c>
      <c r="Y375" s="364">
        <v>0</v>
      </c>
      <c r="Z375" s="364">
        <v>0</v>
      </c>
      <c r="AA375" s="364">
        <v>0</v>
      </c>
      <c r="AB375" s="364">
        <v>0</v>
      </c>
      <c r="AC375" s="364">
        <v>0</v>
      </c>
      <c r="AD375" s="364">
        <v>0</v>
      </c>
      <c r="AE375" s="364">
        <v>0</v>
      </c>
      <c r="AF375" s="364">
        <v>0</v>
      </c>
      <c r="AG375" s="364">
        <v>0</v>
      </c>
      <c r="AH375" s="364">
        <v>0</v>
      </c>
      <c r="AI375" s="364">
        <v>0</v>
      </c>
      <c r="AJ375" s="364">
        <v>0</v>
      </c>
      <c r="AK375" s="364">
        <v>0</v>
      </c>
      <c r="AL375" s="364">
        <v>0</v>
      </c>
      <c r="AM375" s="364">
        <v>0</v>
      </c>
      <c r="AN375" s="364">
        <v>0</v>
      </c>
      <c r="AO375" s="364">
        <v>0</v>
      </c>
      <c r="AP375" s="364">
        <v>0</v>
      </c>
      <c r="AQ375" s="364">
        <v>0</v>
      </c>
      <c r="AR375" s="364">
        <v>0</v>
      </c>
      <c r="AS375" s="364">
        <v>0</v>
      </c>
      <c r="AT375" s="364">
        <v>0</v>
      </c>
      <c r="AU375" s="364">
        <v>0</v>
      </c>
      <c r="AV375" s="364">
        <v>0</v>
      </c>
      <c r="AW375" s="364">
        <v>0</v>
      </c>
      <c r="AX375" s="364">
        <v>0</v>
      </c>
      <c r="AY375" s="364">
        <v>0</v>
      </c>
      <c r="AZ375" s="364">
        <v>0</v>
      </c>
      <c r="BA375" s="364">
        <v>0</v>
      </c>
      <c r="BB375" s="364">
        <v>0</v>
      </c>
      <c r="BC375" s="364">
        <v>0</v>
      </c>
      <c r="BD375" s="364">
        <v>0</v>
      </c>
      <c r="BE375" s="364">
        <v>0</v>
      </c>
      <c r="BF375" s="364">
        <v>0</v>
      </c>
      <c r="BG375" s="364">
        <v>0</v>
      </c>
      <c r="BH375" s="364">
        <v>0</v>
      </c>
      <c r="BI375" s="364">
        <v>0</v>
      </c>
      <c r="BJ375" s="364">
        <v>0</v>
      </c>
      <c r="BK375" s="364">
        <v>0</v>
      </c>
      <c r="BL375" s="364">
        <v>0</v>
      </c>
      <c r="BM375" s="364">
        <v>0</v>
      </c>
      <c r="BN375" s="364">
        <v>0</v>
      </c>
      <c r="BO375" s="364">
        <v>0</v>
      </c>
      <c r="BP375" s="364">
        <v>0</v>
      </c>
      <c r="BQ375" s="364">
        <v>0</v>
      </c>
      <c r="BR375" s="364">
        <v>0</v>
      </c>
      <c r="BS375" s="364">
        <v>0</v>
      </c>
      <c r="BT375" s="364">
        <v>0</v>
      </c>
      <c r="BU375" s="364">
        <v>0</v>
      </c>
      <c r="BV375" s="364">
        <v>0</v>
      </c>
      <c r="BW375" s="364">
        <v>0</v>
      </c>
      <c r="BX375" s="364">
        <v>0</v>
      </c>
      <c r="BY375" s="364">
        <v>0</v>
      </c>
      <c r="BZ375" s="364">
        <v>0</v>
      </c>
      <c r="CA375" s="364">
        <v>0</v>
      </c>
      <c r="CB375" s="364">
        <v>0</v>
      </c>
      <c r="CC375" s="364">
        <v>0</v>
      </c>
      <c r="CD375" s="364">
        <v>0</v>
      </c>
      <c r="CE375" s="364">
        <v>0</v>
      </c>
      <c r="CF375" s="364">
        <v>0</v>
      </c>
      <c r="CG375" s="364">
        <v>0</v>
      </c>
      <c r="CH375" s="364">
        <v>0</v>
      </c>
      <c r="CI375" s="364">
        <v>0</v>
      </c>
      <c r="CJ375" s="364">
        <v>0</v>
      </c>
      <c r="CK375" s="364">
        <v>0</v>
      </c>
      <c r="CL375" s="364">
        <v>0</v>
      </c>
      <c r="CM375" s="364">
        <v>0</v>
      </c>
      <c r="CN375" s="364">
        <v>0</v>
      </c>
      <c r="CO375" s="364">
        <v>0</v>
      </c>
      <c r="CP375" s="364">
        <v>0</v>
      </c>
      <c r="CQ375" s="364">
        <v>0</v>
      </c>
      <c r="CR375" s="364">
        <v>0</v>
      </c>
      <c r="CS375" s="364">
        <v>0</v>
      </c>
      <c r="CT375" s="364">
        <v>0</v>
      </c>
      <c r="CU375" s="364">
        <v>0</v>
      </c>
      <c r="CV375" s="364">
        <v>0</v>
      </c>
      <c r="CW375" s="364">
        <v>0</v>
      </c>
      <c r="CX375" s="364">
        <v>0</v>
      </c>
      <c r="CY375" s="364">
        <v>0</v>
      </c>
      <c r="CZ375" s="364">
        <v>0</v>
      </c>
      <c r="DA375" s="364">
        <v>0</v>
      </c>
      <c r="DB375" s="364">
        <v>0</v>
      </c>
      <c r="DC375" s="364">
        <v>0</v>
      </c>
      <c r="DD375" s="364">
        <v>0</v>
      </c>
      <c r="DE375" s="364">
        <v>0</v>
      </c>
      <c r="DF375" s="364">
        <v>0</v>
      </c>
      <c r="DG375" s="364">
        <v>0</v>
      </c>
      <c r="DH375" s="364">
        <v>0</v>
      </c>
      <c r="DI375" s="364">
        <v>0</v>
      </c>
      <c r="DJ375" s="364">
        <v>0</v>
      </c>
      <c r="DK375" s="364">
        <v>0</v>
      </c>
      <c r="DL375" s="364">
        <v>0</v>
      </c>
      <c r="DM375" s="364">
        <v>0</v>
      </c>
      <c r="DN375" s="364">
        <v>0</v>
      </c>
      <c r="DO375" s="364">
        <v>0</v>
      </c>
      <c r="DP375" s="364">
        <v>0</v>
      </c>
      <c r="DQ375" s="364">
        <v>0</v>
      </c>
      <c r="DR375" s="364">
        <v>0</v>
      </c>
      <c r="DS375" s="364">
        <v>0</v>
      </c>
      <c r="DT375" s="364">
        <v>0</v>
      </c>
      <c r="DU375" s="364">
        <v>0</v>
      </c>
      <c r="DV375" s="364">
        <v>0</v>
      </c>
      <c r="DW375" s="364">
        <f t="shared" si="38"/>
        <v>0</v>
      </c>
      <c r="DX375" s="858"/>
      <c r="DY375" s="706"/>
      <c r="DZ375" s="872"/>
      <c r="EA375" s="873"/>
      <c r="EB375" s="859"/>
      <c r="EC375" s="859"/>
      <c r="ED375" s="859"/>
      <c r="EE375" s="859"/>
      <c r="EF375" s="861"/>
      <c r="EG375" s="1107"/>
      <c r="EI375" s="858"/>
      <c r="EJ375" s="877"/>
      <c r="ER375" s="497"/>
    </row>
    <row r="376" spans="1:182" s="278" customFormat="1" ht="24" outlineLevel="2" x14ac:dyDescent="0.2">
      <c r="A376" s="1069"/>
      <c r="B376" s="897"/>
      <c r="C376" s="902"/>
      <c r="D376" s="863">
        <f>'Detalle Plan de Adquisiciones'!M160</f>
        <v>19114543369.518314</v>
      </c>
      <c r="E376" s="866" t="s">
        <v>311</v>
      </c>
      <c r="F376" s="312" t="s">
        <v>410</v>
      </c>
      <c r="G376" s="557">
        <v>0</v>
      </c>
      <c r="H376" s="557">
        <v>0</v>
      </c>
      <c r="I376" s="557">
        <v>0</v>
      </c>
      <c r="J376" s="557">
        <v>0</v>
      </c>
      <c r="K376" s="557">
        <v>0</v>
      </c>
      <c r="L376" s="557">
        <v>0</v>
      </c>
      <c r="M376" s="557">
        <v>0</v>
      </c>
      <c r="N376" s="557">
        <v>0</v>
      </c>
      <c r="O376" s="557">
        <v>0</v>
      </c>
      <c r="P376" s="557">
        <v>0</v>
      </c>
      <c r="Q376" s="354">
        <v>0</v>
      </c>
      <c r="R376" s="354">
        <v>0</v>
      </c>
      <c r="S376" s="354">
        <v>0</v>
      </c>
      <c r="T376" s="354">
        <v>0</v>
      </c>
      <c r="U376" s="354">
        <v>0</v>
      </c>
      <c r="V376" s="354">
        <v>0</v>
      </c>
      <c r="W376" s="354">
        <v>0</v>
      </c>
      <c r="X376" s="354">
        <v>0</v>
      </c>
      <c r="Y376" s="354">
        <v>0</v>
      </c>
      <c r="Z376" s="354">
        <v>0</v>
      </c>
      <c r="AA376" s="354">
        <v>0</v>
      </c>
      <c r="AB376" s="354">
        <v>0</v>
      </c>
      <c r="AC376" s="354">
        <v>0</v>
      </c>
      <c r="AD376" s="354">
        <v>0</v>
      </c>
      <c r="AE376" s="354">
        <v>0</v>
      </c>
      <c r="AF376" s="354">
        <v>0</v>
      </c>
      <c r="AG376" s="354">
        <v>0</v>
      </c>
      <c r="AH376" s="354">
        <v>0</v>
      </c>
      <c r="AI376" s="354">
        <v>0</v>
      </c>
      <c r="AJ376" s="354">
        <v>0</v>
      </c>
      <c r="AK376" s="354">
        <v>0</v>
      </c>
      <c r="AL376" s="354">
        <v>0</v>
      </c>
      <c r="AM376" s="354">
        <v>0</v>
      </c>
      <c r="AN376" s="354">
        <v>0</v>
      </c>
      <c r="AO376" s="354">
        <v>0</v>
      </c>
      <c r="AP376" s="354">
        <v>0</v>
      </c>
      <c r="AQ376" s="354">
        <v>0</v>
      </c>
      <c r="AR376" s="354">
        <v>0</v>
      </c>
      <c r="AS376" s="354">
        <v>0</v>
      </c>
      <c r="AT376" s="354">
        <v>0</v>
      </c>
      <c r="AU376" s="354">
        <v>0</v>
      </c>
      <c r="AV376" s="354">
        <v>0</v>
      </c>
      <c r="AW376" s="354">
        <v>0</v>
      </c>
      <c r="AX376" s="354">
        <v>0</v>
      </c>
      <c r="AY376" s="354">
        <v>0</v>
      </c>
      <c r="AZ376" s="354">
        <v>0</v>
      </c>
      <c r="BA376" s="354">
        <v>0</v>
      </c>
      <c r="BB376" s="354">
        <v>0</v>
      </c>
      <c r="BC376" s="567">
        <v>0</v>
      </c>
      <c r="BD376" s="354">
        <v>1.7095499999999999</v>
      </c>
      <c r="BE376" s="354">
        <v>0</v>
      </c>
      <c r="BF376" s="354">
        <v>31.363636</v>
      </c>
      <c r="BG376" s="354">
        <v>17.7592</v>
      </c>
      <c r="BH376" s="354">
        <v>17.5</v>
      </c>
      <c r="BI376" s="354">
        <v>9.0728000000000009</v>
      </c>
      <c r="BJ376" s="354">
        <v>40.436436</v>
      </c>
      <c r="BK376" s="354">
        <v>18</v>
      </c>
      <c r="BL376" s="354">
        <v>26.572800000000001</v>
      </c>
      <c r="BM376" s="354">
        <v>34.963636000000001</v>
      </c>
      <c r="BN376" s="354">
        <v>105.95</v>
      </c>
      <c r="BO376" s="354">
        <v>33.820852000000002</v>
      </c>
      <c r="BP376" s="354">
        <v>16.95</v>
      </c>
      <c r="BQ376" s="354">
        <v>0</v>
      </c>
      <c r="BR376" s="354">
        <v>11</v>
      </c>
      <c r="BS376" s="354">
        <v>5.5</v>
      </c>
      <c r="BT376" s="567">
        <v>0</v>
      </c>
      <c r="BU376" s="567">
        <v>0</v>
      </c>
      <c r="BV376" s="567">
        <v>0</v>
      </c>
      <c r="BW376" s="567">
        <v>0</v>
      </c>
      <c r="BX376" s="354">
        <v>0</v>
      </c>
      <c r="BY376" s="354">
        <v>0</v>
      </c>
      <c r="BZ376" s="354">
        <v>0</v>
      </c>
      <c r="CA376" s="354">
        <v>0</v>
      </c>
      <c r="CB376" s="354">
        <v>0</v>
      </c>
      <c r="CC376" s="354">
        <v>0</v>
      </c>
      <c r="CD376" s="354">
        <v>0</v>
      </c>
      <c r="CE376" s="354">
        <v>0</v>
      </c>
      <c r="CF376" s="354">
        <v>0</v>
      </c>
      <c r="CG376" s="354">
        <v>0</v>
      </c>
      <c r="CH376" s="354">
        <v>0</v>
      </c>
      <c r="CI376" s="354">
        <v>0</v>
      </c>
      <c r="CJ376" s="354">
        <v>0</v>
      </c>
      <c r="CK376" s="354">
        <v>0</v>
      </c>
      <c r="CL376" s="354">
        <v>0</v>
      </c>
      <c r="CM376" s="354">
        <v>1.99942</v>
      </c>
      <c r="CN376" s="354">
        <f>83.2765+6.3882</f>
        <v>89.664699999999996</v>
      </c>
      <c r="CO376" s="354">
        <v>111.511049</v>
      </c>
      <c r="CP376" s="354">
        <v>123.959174</v>
      </c>
      <c r="CQ376" s="354">
        <v>113.800664</v>
      </c>
      <c r="CR376" s="354">
        <v>103.192674</v>
      </c>
      <c r="CS376" s="354">
        <v>202.03459899999999</v>
      </c>
      <c r="CT376" s="354">
        <v>198.300209</v>
      </c>
      <c r="CU376" s="354">
        <v>149.38951499999999</v>
      </c>
      <c r="CV376" s="354">
        <v>101.78261500000001</v>
      </c>
      <c r="CW376" s="354">
        <v>110.75746100000001</v>
      </c>
      <c r="CX376" s="354">
        <v>176.00934699999999</v>
      </c>
      <c r="CY376" s="354">
        <f>10.0445110000003+103.604765</f>
        <v>113.6492760000003</v>
      </c>
      <c r="CZ376" s="354">
        <v>111.730721</v>
      </c>
      <c r="DA376" s="354">
        <v>131.37960999999999</v>
      </c>
      <c r="DB376" s="354">
        <v>122.77037300000001</v>
      </c>
      <c r="DC376" s="354">
        <v>186.900024</v>
      </c>
      <c r="DD376" s="354">
        <v>118.49755500000001</v>
      </c>
      <c r="DE376" s="363">
        <v>138.27686</v>
      </c>
      <c r="DF376" s="354">
        <v>286.02447699999937</v>
      </c>
      <c r="DG376" s="354">
        <v>330.37482299999931</v>
      </c>
      <c r="DH376" s="354">
        <v>239.34068533448698</v>
      </c>
      <c r="DI376" s="354">
        <v>350.196547833333</v>
      </c>
      <c r="DJ376" s="354">
        <v>350.196547833333</v>
      </c>
      <c r="DK376" s="354">
        <v>569.8215269154208</v>
      </c>
      <c r="DL376" s="354">
        <v>569.8215269154208</v>
      </c>
      <c r="DM376" s="354">
        <v>569.8215269154208</v>
      </c>
      <c r="DN376" s="354">
        <v>569.8215269154208</v>
      </c>
      <c r="DO376" s="354">
        <v>569.8215269154208</v>
      </c>
      <c r="DP376" s="354">
        <v>569.8215269154208</v>
      </c>
      <c r="DQ376" s="354">
        <v>569.8215269154208</v>
      </c>
      <c r="DR376" s="354">
        <v>569.8215269154208</v>
      </c>
      <c r="DS376" s="354">
        <v>569.8215269154208</v>
      </c>
      <c r="DT376" s="354">
        <v>569.8215269154208</v>
      </c>
      <c r="DU376" s="354">
        <v>569.8215269154208</v>
      </c>
      <c r="DV376" s="354">
        <f>630.764548858685-18.3-6.1</f>
        <v>606.364548858685</v>
      </c>
      <c r="DW376" s="543">
        <f t="shared" si="38"/>
        <v>11206.739181929464</v>
      </c>
      <c r="DX376" s="858">
        <f>DW376+DW377+DW378</f>
        <v>19114.543369519466</v>
      </c>
      <c r="DY376" s="707">
        <f>+DX376*1000000</f>
        <v>19114543369.519466</v>
      </c>
      <c r="DZ376" s="1092">
        <f>+DY376-D376</f>
        <v>1.15203857421875E-3</v>
      </c>
      <c r="EA376" s="873" t="e">
        <f>VLOOKUP([12]POA!$B371,INTERPLAN,28,0)</f>
        <v>#N/A</v>
      </c>
      <c r="EB376" s="859" t="e">
        <f>+EDATE(EA376,C377)</f>
        <v>#N/A</v>
      </c>
      <c r="EC376" s="859" t="e">
        <f>EB376+30</f>
        <v>#N/A</v>
      </c>
      <c r="ED376" s="859" t="e">
        <f>CONCATENATE(MONTH(EA376),"-",YEAR(EA376))</f>
        <v>#N/A</v>
      </c>
      <c r="EE376" s="859" t="e">
        <f>CONCATENATE(MONTH(EB376),"-",YEAR(EB376))</f>
        <v>#N/A</v>
      </c>
      <c r="EF376" s="861" t="e">
        <f>CONCATENATE(MONTH(EC376),"-",YEAR(EC376))</f>
        <v>#N/A</v>
      </c>
      <c r="EG376" s="1105"/>
      <c r="EI376" s="858">
        <f>+DW376+DW377+DW378</f>
        <v>19114.543369519466</v>
      </c>
      <c r="EJ376" s="877">
        <f>+D376/1000000-EI376</f>
        <v>-1.153239281848073E-9</v>
      </c>
      <c r="EN376" s="627"/>
      <c r="ER376" s="625"/>
    </row>
    <row r="377" spans="1:182" s="278" customFormat="1" outlineLevel="2" x14ac:dyDescent="0.2">
      <c r="A377" s="1070"/>
      <c r="B377" s="886"/>
      <c r="C377" s="903"/>
      <c r="D377" s="864"/>
      <c r="E377" s="867"/>
      <c r="F377" s="311" t="s">
        <v>210</v>
      </c>
      <c r="G377" s="411">
        <v>0</v>
      </c>
      <c r="H377" s="411">
        <v>0</v>
      </c>
      <c r="I377" s="411">
        <v>0</v>
      </c>
      <c r="J377" s="411">
        <v>0</v>
      </c>
      <c r="K377" s="411">
        <v>0</v>
      </c>
      <c r="L377" s="411"/>
      <c r="M377" s="411">
        <v>0</v>
      </c>
      <c r="N377" s="411">
        <v>0</v>
      </c>
      <c r="O377" s="411">
        <v>0</v>
      </c>
      <c r="P377" s="411">
        <v>0</v>
      </c>
      <c r="Q377" s="363">
        <v>0</v>
      </c>
      <c r="R377" s="363">
        <v>0</v>
      </c>
      <c r="S377" s="363"/>
      <c r="T377" s="363"/>
      <c r="U377" s="363"/>
      <c r="V377" s="363"/>
      <c r="W377" s="363"/>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c r="AS377" s="363"/>
      <c r="AT377" s="363"/>
      <c r="AU377" s="363"/>
      <c r="AV377" s="363"/>
      <c r="AW377" s="363"/>
      <c r="AX377" s="363"/>
      <c r="AY377" s="363"/>
      <c r="AZ377" s="363"/>
      <c r="BA377" s="363"/>
      <c r="BB377" s="363"/>
      <c r="BC377" s="523"/>
      <c r="BD377" s="523"/>
      <c r="BE377" s="523"/>
      <c r="BF377" s="523"/>
      <c r="BG377" s="523"/>
      <c r="BH377" s="523"/>
      <c r="BI377" s="523"/>
      <c r="BJ377" s="523"/>
      <c r="BK377" s="523"/>
      <c r="BL377" s="523"/>
      <c r="BM377" s="523"/>
      <c r="BN377" s="523">
        <v>0</v>
      </c>
      <c r="BO377" s="584">
        <v>0</v>
      </c>
      <c r="BP377" s="584">
        <v>0</v>
      </c>
      <c r="BQ377" s="423"/>
      <c r="BR377" s="363">
        <v>0</v>
      </c>
      <c r="BS377" s="363">
        <v>0</v>
      </c>
      <c r="BT377" s="363"/>
      <c r="BU377" s="363"/>
      <c r="BV377" s="363"/>
      <c r="BW377" s="363"/>
      <c r="BX377" s="363"/>
      <c r="BY377" s="363"/>
      <c r="BZ377" s="363"/>
      <c r="CA377" s="363"/>
      <c r="CB377" s="363"/>
      <c r="CC377" s="363"/>
      <c r="CD377" s="363"/>
      <c r="CE377" s="363"/>
      <c r="CF377" s="363"/>
      <c r="CG377" s="363"/>
      <c r="CH377" s="363"/>
      <c r="CI377" s="363"/>
      <c r="CJ377" s="363"/>
      <c r="CK377" s="363"/>
      <c r="CL377" s="363"/>
      <c r="CM377" s="363"/>
      <c r="CN377" s="363"/>
      <c r="CO377" s="658"/>
      <c r="CP377" s="658"/>
      <c r="CQ377" s="658"/>
      <c r="CR377" s="658">
        <v>0</v>
      </c>
      <c r="CS377" s="363"/>
      <c r="CT377" s="363"/>
      <c r="CU377" s="363"/>
      <c r="CV377" s="363"/>
      <c r="CW377" s="363"/>
      <c r="CX377" s="363">
        <v>0</v>
      </c>
      <c r="CY377" s="363"/>
      <c r="CZ377" s="363"/>
      <c r="DA377" s="363"/>
      <c r="DB377" s="363"/>
      <c r="DC377" s="363"/>
      <c r="DD377" s="363"/>
      <c r="DE377" s="363"/>
      <c r="DF377" s="363"/>
      <c r="DG377" s="363"/>
      <c r="DH377" s="363"/>
      <c r="DI377" s="363"/>
      <c r="DJ377" s="363"/>
      <c r="DK377" s="363">
        <v>0</v>
      </c>
      <c r="DL377" s="363"/>
      <c r="DM377" s="363"/>
      <c r="DN377" s="363">
        <v>0</v>
      </c>
      <c r="DO377" s="363"/>
      <c r="DP377" s="363"/>
      <c r="DQ377" s="363"/>
      <c r="DR377" s="363"/>
      <c r="DS377" s="363"/>
      <c r="DT377" s="363"/>
      <c r="DU377" s="363"/>
      <c r="DV377" s="363"/>
      <c r="DW377" s="544">
        <f t="shared" si="38"/>
        <v>0</v>
      </c>
      <c r="DX377" s="858"/>
      <c r="DY377" s="705"/>
      <c r="DZ377" s="1093"/>
      <c r="EA377" s="873"/>
      <c r="EB377" s="859"/>
      <c r="EC377" s="859"/>
      <c r="ED377" s="859"/>
      <c r="EE377" s="859"/>
      <c r="EF377" s="861"/>
      <c r="EG377" s="1106"/>
      <c r="EI377" s="858"/>
      <c r="EJ377" s="877"/>
      <c r="EN377" s="627"/>
      <c r="ER377" s="625"/>
    </row>
    <row r="378" spans="1:182" s="278" customFormat="1" ht="18" customHeight="1" outlineLevel="2" thickBot="1" x14ac:dyDescent="0.25">
      <c r="A378" s="1073"/>
      <c r="B378" s="908"/>
      <c r="C378" s="909"/>
      <c r="D378" s="876"/>
      <c r="E378" s="875"/>
      <c r="F378" s="313" t="s">
        <v>211</v>
      </c>
      <c r="G378" s="559">
        <v>0</v>
      </c>
      <c r="H378" s="559">
        <v>0</v>
      </c>
      <c r="I378" s="559">
        <v>0</v>
      </c>
      <c r="J378" s="559">
        <v>0</v>
      </c>
      <c r="K378" s="559">
        <v>0</v>
      </c>
      <c r="L378" s="559">
        <v>0</v>
      </c>
      <c r="M378" s="559">
        <v>0</v>
      </c>
      <c r="N378" s="559">
        <v>0</v>
      </c>
      <c r="O378" s="559">
        <v>0</v>
      </c>
      <c r="P378" s="559">
        <v>0</v>
      </c>
      <c r="Q378" s="387">
        <v>62.562000000000005</v>
      </c>
      <c r="R378" s="387">
        <v>110.505015</v>
      </c>
      <c r="S378" s="387">
        <v>26.798509549999999</v>
      </c>
      <c r="T378" s="387">
        <v>77.325733159999999</v>
      </c>
      <c r="U378" s="387">
        <v>56.10479394</v>
      </c>
      <c r="V378" s="387">
        <v>302.42249038</v>
      </c>
      <c r="W378" s="387">
        <v>123.28394182</v>
      </c>
      <c r="X378" s="387">
        <v>57.619665740000002</v>
      </c>
      <c r="Y378" s="387">
        <v>97.285681999999994</v>
      </c>
      <c r="Z378" s="387">
        <v>86.643673000000007</v>
      </c>
      <c r="AA378" s="387">
        <v>50.210427000000003</v>
      </c>
      <c r="AB378" s="387">
        <v>91.119240000000005</v>
      </c>
      <c r="AC378" s="387">
        <v>52.775640000000003</v>
      </c>
      <c r="AD378" s="387">
        <v>146.005833</v>
      </c>
      <c r="AE378" s="387">
        <v>60.62724</v>
      </c>
      <c r="AF378" s="387">
        <v>74.113792000000004</v>
      </c>
      <c r="AG378" s="387">
        <v>110.20203100000001</v>
      </c>
      <c r="AH378" s="387">
        <v>62.220818000000001</v>
      </c>
      <c r="AI378" s="387">
        <v>60.703211000000003</v>
      </c>
      <c r="AJ378" s="387">
        <v>65.429215999999997</v>
      </c>
      <c r="AK378" s="387">
        <v>62.619261999999999</v>
      </c>
      <c r="AL378" s="387">
        <v>102.04642699999999</v>
      </c>
      <c r="AM378" s="387">
        <v>82.864405000000005</v>
      </c>
      <c r="AN378" s="387">
        <v>62.688071999999998</v>
      </c>
      <c r="AO378" s="387">
        <v>87.168992000000003</v>
      </c>
      <c r="AP378" s="387">
        <v>129.78943000000001</v>
      </c>
      <c r="AQ378" s="387">
        <v>112.74699699999999</v>
      </c>
      <c r="AR378" s="387">
        <v>43.398527999999999</v>
      </c>
      <c r="AS378" s="387">
        <v>67.116057999999995</v>
      </c>
      <c r="AT378" s="387">
        <v>100.88448</v>
      </c>
      <c r="AU378" s="387">
        <v>68.636238999999989</v>
      </c>
      <c r="AV378" s="387">
        <v>98.128319999999974</v>
      </c>
      <c r="AW378" s="387">
        <v>97.086310999999966</v>
      </c>
      <c r="AX378" s="387">
        <v>103.39677999999998</v>
      </c>
      <c r="AY378" s="387">
        <v>137.81473099999999</v>
      </c>
      <c r="AZ378" s="387">
        <v>221.180499</v>
      </c>
      <c r="BA378" s="387">
        <v>68.905333999999996</v>
      </c>
      <c r="BB378" s="387">
        <v>189.96983299999999</v>
      </c>
      <c r="BC378" s="387">
        <v>11.25</v>
      </c>
      <c r="BD378" s="387">
        <v>69.870593999999997</v>
      </c>
      <c r="BE378" s="387">
        <v>79.544573999999997</v>
      </c>
      <c r="BF378" s="387">
        <v>69.972638000000003</v>
      </c>
      <c r="BG378" s="387">
        <v>89.129625000000004</v>
      </c>
      <c r="BH378" s="387">
        <v>85.246519000000006</v>
      </c>
      <c r="BI378" s="387">
        <v>85.604281</v>
      </c>
      <c r="BJ378" s="387">
        <v>68.319142999999997</v>
      </c>
      <c r="BK378" s="387">
        <v>77.254162000000008</v>
      </c>
      <c r="BL378" s="387">
        <v>85.376462999999973</v>
      </c>
      <c r="BM378" s="387">
        <v>81.628852000000009</v>
      </c>
      <c r="BN378" s="387">
        <v>76.531389000000004</v>
      </c>
      <c r="BO378" s="387">
        <v>82.054061000000019</v>
      </c>
      <c r="BP378" s="387">
        <v>74.94210600000001</v>
      </c>
      <c r="BQ378" s="387">
        <v>95.061228999999997</v>
      </c>
      <c r="BR378" s="387">
        <v>93.731583999999998</v>
      </c>
      <c r="BS378" s="387">
        <v>121.670855</v>
      </c>
      <c r="BT378" s="387">
        <v>83.104482000000004</v>
      </c>
      <c r="BU378" s="387">
        <v>96.039745999999994</v>
      </c>
      <c r="BV378" s="387">
        <v>115.02564699999999</v>
      </c>
      <c r="BW378" s="387">
        <v>87.079612999999995</v>
      </c>
      <c r="BX378" s="387">
        <v>131.16178600000001</v>
      </c>
      <c r="BY378" s="387">
        <v>87.990660999999989</v>
      </c>
      <c r="BZ378" s="387">
        <v>294.849672</v>
      </c>
      <c r="CA378" s="387">
        <v>155.42636999999999</v>
      </c>
      <c r="CB378" s="387">
        <v>72.355537999999996</v>
      </c>
      <c r="CC378" s="387">
        <v>84.916362000000007</v>
      </c>
      <c r="CD378" s="387">
        <v>154.01015100000001</v>
      </c>
      <c r="CE378" s="387">
        <v>119.59466500000001</v>
      </c>
      <c r="CF378" s="387">
        <v>186.351147</v>
      </c>
      <c r="CG378" s="387">
        <v>135.39438200000001</v>
      </c>
      <c r="CH378" s="387">
        <v>147.461815</v>
      </c>
      <c r="CI378" s="387">
        <v>145.271467</v>
      </c>
      <c r="CJ378" s="387">
        <v>154.09729799999999</v>
      </c>
      <c r="CK378" s="387">
        <v>159.902919</v>
      </c>
      <c r="CL378" s="387">
        <v>265.60988500000002</v>
      </c>
      <c r="CM378" s="387">
        <v>159.728486</v>
      </c>
      <c r="CN378" s="387">
        <v>25.291119999999999</v>
      </c>
      <c r="CO378" s="387">
        <v>0</v>
      </c>
      <c r="CP378" s="387"/>
      <c r="CQ378" s="387">
        <v>0</v>
      </c>
      <c r="CR378" s="387">
        <v>0</v>
      </c>
      <c r="CS378" s="387">
        <v>0</v>
      </c>
      <c r="CT378" s="387"/>
      <c r="CU378" s="387">
        <v>1.1581330000000001</v>
      </c>
      <c r="CV378" s="387">
        <v>2.4654379999999998</v>
      </c>
      <c r="CW378" s="387">
        <v>4.0331450000000002</v>
      </c>
      <c r="CX378" s="387">
        <v>15.296533999999999</v>
      </c>
      <c r="CY378" s="387">
        <v>30</v>
      </c>
      <c r="CZ378" s="387">
        <v>6.1</v>
      </c>
      <c r="DA378" s="387">
        <v>6.1</v>
      </c>
      <c r="DB378" s="387">
        <v>12.2</v>
      </c>
      <c r="DC378" s="387">
        <v>6.1</v>
      </c>
      <c r="DD378" s="387"/>
      <c r="DE378" s="387">
        <v>6.1</v>
      </c>
      <c r="DF378" s="387"/>
      <c r="DG378" s="387"/>
      <c r="DH378" s="387"/>
      <c r="DI378" s="387">
        <v>0</v>
      </c>
      <c r="DJ378" s="387">
        <v>0</v>
      </c>
      <c r="DK378" s="387">
        <v>0</v>
      </c>
      <c r="DL378" s="387"/>
      <c r="DM378" s="387"/>
      <c r="DN378" s="387"/>
      <c r="DO378" s="387">
        <v>0</v>
      </c>
      <c r="DP378" s="387">
        <v>0</v>
      </c>
      <c r="DQ378" s="387">
        <v>0</v>
      </c>
      <c r="DR378" s="387">
        <v>0</v>
      </c>
      <c r="DS378" s="387"/>
      <c r="DT378" s="387"/>
      <c r="DU378" s="387">
        <v>0</v>
      </c>
      <c r="DV378" s="387">
        <v>0</v>
      </c>
      <c r="DW378" s="545">
        <f t="shared" si="38"/>
        <v>7907.8041875900017</v>
      </c>
      <c r="DX378" s="858"/>
      <c r="DY378" s="706"/>
      <c r="DZ378" s="1094"/>
      <c r="EA378" s="1068"/>
      <c r="EB378" s="913"/>
      <c r="EC378" s="913"/>
      <c r="ED378" s="913"/>
      <c r="EE378" s="913"/>
      <c r="EF378" s="1067"/>
      <c r="EG378" s="1107"/>
      <c r="EI378" s="858"/>
      <c r="EJ378" s="877"/>
      <c r="EL378" s="393"/>
      <c r="EN378" s="419"/>
      <c r="ER378" s="625"/>
      <c r="ES378" s="509"/>
      <c r="EU378" s="628"/>
      <c r="FY378" s="627"/>
      <c r="FZ378" s="419"/>
    </row>
    <row r="379" spans="1:182" s="278" customFormat="1" ht="12.75" outlineLevel="2" x14ac:dyDescent="0.2">
      <c r="A379" s="1102"/>
      <c r="B379" s="885"/>
      <c r="C379" s="911"/>
      <c r="D379" s="888"/>
      <c r="E379" s="1099"/>
      <c r="F379" s="316"/>
      <c r="G379" s="383"/>
      <c r="H379" s="383"/>
      <c r="I379" s="383"/>
      <c r="J379" s="383"/>
      <c r="K379" s="383"/>
      <c r="L379" s="383"/>
      <c r="M379" s="383"/>
      <c r="N379" s="383"/>
      <c r="O379" s="383"/>
      <c r="P379" s="383"/>
      <c r="Q379" s="383"/>
      <c r="R379" s="383"/>
      <c r="S379" s="383"/>
      <c r="T379" s="383"/>
      <c r="U379" s="383"/>
      <c r="V379" s="383"/>
      <c r="W379" s="383"/>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c r="AS379" s="383"/>
      <c r="AT379" s="383"/>
      <c r="AU379" s="383"/>
      <c r="AV379" s="383"/>
      <c r="AW379" s="383"/>
      <c r="AX379" s="383"/>
      <c r="AY379" s="383"/>
      <c r="AZ379" s="383"/>
      <c r="BA379" s="383"/>
      <c r="BB379" s="383"/>
      <c r="BC379" s="383"/>
      <c r="BD379" s="383"/>
      <c r="BE379" s="383"/>
      <c r="BF379" s="383"/>
      <c r="BG379" s="383"/>
      <c r="BH379" s="383"/>
      <c r="BI379" s="383"/>
      <c r="BJ379" s="383"/>
      <c r="BK379" s="383"/>
      <c r="BL379" s="383"/>
      <c r="BM379" s="383"/>
      <c r="BN379" s="383"/>
      <c r="BO379" s="383"/>
      <c r="BP379" s="383"/>
      <c r="BQ379" s="383"/>
      <c r="BR379" s="383"/>
      <c r="BS379" s="383"/>
      <c r="BT379" s="383"/>
      <c r="BU379" s="383"/>
      <c r="BV379" s="383"/>
      <c r="BW379" s="383"/>
      <c r="BX379" s="383"/>
      <c r="BY379" s="383"/>
      <c r="BZ379" s="383"/>
      <c r="CA379" s="383"/>
      <c r="CB379" s="383"/>
      <c r="CC379" s="383"/>
      <c r="CD379" s="383"/>
      <c r="CE379" s="383"/>
      <c r="CF379" s="383"/>
      <c r="CG379" s="383"/>
      <c r="CH379" s="383"/>
      <c r="CI379" s="383"/>
      <c r="CJ379" s="383"/>
      <c r="CK379" s="383"/>
      <c r="CL379" s="383"/>
      <c r="CM379" s="384"/>
      <c r="CN379" s="384"/>
      <c r="CO379" s="384"/>
      <c r="CP379" s="384"/>
      <c r="CQ379" s="384"/>
      <c r="CR379" s="384"/>
      <c r="CS379" s="384"/>
      <c r="CT379" s="384"/>
      <c r="CU379" s="384"/>
      <c r="CV379" s="384"/>
      <c r="CW379" s="384"/>
      <c r="CX379" s="384"/>
      <c r="CY379" s="384"/>
      <c r="CZ379" s="384"/>
      <c r="DA379" s="384"/>
      <c r="DB379" s="384"/>
      <c r="DC379" s="384"/>
      <c r="DD379" s="384"/>
      <c r="DE379" s="384"/>
      <c r="DF379" s="384"/>
      <c r="DG379" s="384"/>
      <c r="DH379" s="384"/>
      <c r="DI379" s="384"/>
      <c r="DJ379" s="384"/>
      <c r="DK379" s="505"/>
      <c r="DL379" s="505"/>
      <c r="DM379" s="505"/>
      <c r="DN379" s="505"/>
      <c r="DO379" s="505"/>
      <c r="DP379" s="505"/>
      <c r="DQ379" s="505"/>
      <c r="DR379" s="505"/>
      <c r="DS379" s="505"/>
      <c r="DT379" s="505"/>
      <c r="DU379" s="505"/>
      <c r="DV379" s="505"/>
      <c r="DW379" s="471"/>
      <c r="DX379" s="858"/>
      <c r="DY379" s="704"/>
      <c r="DZ379" s="1104"/>
      <c r="EA379" s="873" t="e">
        <f>VLOOKUP(POA!$B380,INTERPLAN,28,0)</f>
        <v>#N/A</v>
      </c>
      <c r="EB379" s="859" t="e">
        <f>+EDATE(EA379,C380)</f>
        <v>#N/A</v>
      </c>
      <c r="EC379" s="859" t="e">
        <f>EB379+30</f>
        <v>#N/A</v>
      </c>
      <c r="ED379" s="859" t="e">
        <f>CONCATENATE(MONTH(EA379),"-",YEAR(EA379))</f>
        <v>#N/A</v>
      </c>
      <c r="EE379" s="859" t="e">
        <f>CONCATENATE(MONTH(EB379),"-",YEAR(EB379))</f>
        <v>#N/A</v>
      </c>
      <c r="EF379" s="861" t="e">
        <f>CONCATENATE(MONTH(EC379),"-",YEAR(EC379))</f>
        <v>#N/A</v>
      </c>
      <c r="EG379" s="1105"/>
      <c r="EI379" s="858">
        <f>+DW379+DW380+DW381</f>
        <v>0</v>
      </c>
      <c r="EJ379" s="877">
        <f>+D379/1000000-EI379</f>
        <v>0</v>
      </c>
      <c r="EO379" s="430"/>
      <c r="ER379" s="497"/>
    </row>
    <row r="380" spans="1:182" s="32" customFormat="1" ht="12.75" outlineLevel="2" x14ac:dyDescent="0.2">
      <c r="A380" s="1103"/>
      <c r="B380" s="886"/>
      <c r="C380" s="903"/>
      <c r="D380" s="864"/>
      <c r="E380" s="1100"/>
      <c r="F380" s="395"/>
      <c r="G380" s="394"/>
      <c r="H380" s="394"/>
      <c r="I380" s="394"/>
      <c r="J380" s="394"/>
      <c r="K380" s="394"/>
      <c r="L380" s="394"/>
      <c r="M380" s="394"/>
      <c r="N380" s="394"/>
      <c r="O380" s="394"/>
      <c r="P380" s="394"/>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4"/>
      <c r="AV380" s="394"/>
      <c r="AW380" s="394"/>
      <c r="AX380" s="394"/>
      <c r="AY380" s="394"/>
      <c r="AZ380" s="394"/>
      <c r="BA380" s="394"/>
      <c r="BB380" s="394"/>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c r="BZ380" s="39"/>
      <c r="CA380" s="39"/>
      <c r="CB380" s="39"/>
      <c r="CC380" s="39"/>
      <c r="CD380" s="39"/>
      <c r="CE380" s="39"/>
      <c r="CF380" s="39"/>
      <c r="CG380" s="587"/>
      <c r="CH380" s="39"/>
      <c r="CI380" s="39"/>
      <c r="CJ380" s="39"/>
      <c r="CK380" s="39"/>
      <c r="CL380" s="394"/>
      <c r="CM380" s="395"/>
      <c r="CN380" s="395"/>
      <c r="CO380" s="395"/>
      <c r="CP380" s="395"/>
      <c r="CQ380" s="395"/>
      <c r="CR380" s="395"/>
      <c r="CS380" s="395"/>
      <c r="CT380" s="395"/>
      <c r="CU380" s="738"/>
      <c r="CV380" s="395"/>
      <c r="CW380" s="395"/>
      <c r="CX380" s="420"/>
      <c r="CY380" s="420"/>
      <c r="CZ380" s="420"/>
      <c r="DA380" s="420"/>
      <c r="DB380" s="420"/>
      <c r="DC380" s="420"/>
      <c r="DD380" s="420"/>
      <c r="DE380" s="420"/>
      <c r="DF380" s="420"/>
      <c r="DG380" s="420"/>
      <c r="DH380" s="420"/>
      <c r="DI380" s="420"/>
      <c r="DJ380" s="420"/>
      <c r="DK380" s="506"/>
      <c r="DL380" s="506"/>
      <c r="DM380" s="506"/>
      <c r="DN380" s="506"/>
      <c r="DO380" s="506"/>
      <c r="DP380" s="506"/>
      <c r="DQ380" s="506"/>
      <c r="DR380" s="506"/>
      <c r="DS380" s="506"/>
      <c r="DT380" s="506"/>
      <c r="DU380" s="506"/>
      <c r="DV380" s="506"/>
      <c r="DW380" s="466"/>
      <c r="DX380" s="858"/>
      <c r="DY380" s="705"/>
      <c r="DZ380" s="1104"/>
      <c r="EA380" s="873"/>
      <c r="EB380" s="859"/>
      <c r="EC380" s="859"/>
      <c r="ED380" s="859"/>
      <c r="EE380" s="859"/>
      <c r="EF380" s="861"/>
      <c r="EG380" s="1106"/>
      <c r="EI380" s="858"/>
      <c r="EJ380" s="877"/>
      <c r="ER380" s="486"/>
    </row>
    <row r="381" spans="1:182" s="32" customFormat="1" ht="13.5" outlineLevel="2" thickBot="1" x14ac:dyDescent="0.25">
      <c r="A381" s="1103"/>
      <c r="B381" s="886"/>
      <c r="C381" s="903"/>
      <c r="D381" s="864"/>
      <c r="E381" s="1101"/>
      <c r="F381" s="448"/>
      <c r="G381" s="449"/>
      <c r="H381" s="449"/>
      <c r="I381" s="449"/>
      <c r="J381" s="449"/>
      <c r="K381" s="449"/>
      <c r="L381" s="449"/>
      <c r="M381" s="449"/>
      <c r="N381" s="449"/>
      <c r="O381" s="449"/>
      <c r="P381" s="449"/>
      <c r="Q381" s="450"/>
      <c r="R381" s="450"/>
      <c r="S381" s="450"/>
      <c r="T381" s="450"/>
      <c r="U381" s="450"/>
      <c r="V381" s="450"/>
      <c r="W381" s="450"/>
      <c r="X381" s="450"/>
      <c r="Y381" s="450"/>
      <c r="Z381" s="450"/>
      <c r="AA381" s="450"/>
      <c r="AB381" s="450"/>
      <c r="AC381" s="450"/>
      <c r="AD381" s="450"/>
      <c r="AE381" s="450"/>
      <c r="AF381" s="450"/>
      <c r="AG381" s="450"/>
      <c r="AH381" s="450"/>
      <c r="AI381" s="450"/>
      <c r="AJ381" s="450"/>
      <c r="AK381" s="450"/>
      <c r="AL381" s="450"/>
      <c r="AM381" s="450"/>
      <c r="AN381" s="450"/>
      <c r="AO381" s="450"/>
      <c r="AP381" s="450"/>
      <c r="AQ381" s="450"/>
      <c r="AR381" s="450"/>
      <c r="AS381" s="450"/>
      <c r="AT381" s="450"/>
      <c r="AU381" s="450"/>
      <c r="AV381" s="450"/>
      <c r="AW381" s="450"/>
      <c r="AX381" s="450"/>
      <c r="AY381" s="450"/>
      <c r="AZ381" s="450"/>
      <c r="BA381" s="450"/>
      <c r="BB381" s="450"/>
      <c r="BC381" s="450"/>
      <c r="BD381" s="450"/>
      <c r="BE381" s="450"/>
      <c r="BF381" s="450"/>
      <c r="BG381" s="450"/>
      <c r="BH381" s="450"/>
      <c r="BI381" s="450"/>
      <c r="BJ381" s="450"/>
      <c r="BK381" s="450"/>
      <c r="BL381" s="450"/>
      <c r="BM381" s="450"/>
      <c r="BN381" s="450"/>
      <c r="BO381" s="450"/>
      <c r="BP381" s="450"/>
      <c r="BQ381" s="450"/>
      <c r="BR381" s="450"/>
      <c r="BS381" s="450"/>
      <c r="BT381" s="450"/>
      <c r="BU381" s="450"/>
      <c r="BV381" s="450"/>
      <c r="BW381" s="450"/>
      <c r="BX381" s="450"/>
      <c r="BY381" s="450"/>
      <c r="BZ381" s="450"/>
      <c r="CA381" s="450"/>
      <c r="CB381" s="450"/>
      <c r="CC381" s="450"/>
      <c r="CD381" s="450"/>
      <c r="CE381" s="450"/>
      <c r="CF381" s="450"/>
      <c r="CG381" s="450"/>
      <c r="CH381" s="450"/>
      <c r="CI381" s="450"/>
      <c r="CJ381" s="450"/>
      <c r="CK381" s="450"/>
      <c r="CL381" s="450"/>
      <c r="CM381" s="451"/>
      <c r="CN381" s="451"/>
      <c r="CO381" s="451"/>
      <c r="CP381" s="451"/>
      <c r="CQ381" s="451"/>
      <c r="CR381" s="451"/>
      <c r="CS381" s="451"/>
      <c r="CT381" s="451"/>
      <c r="CU381" s="451"/>
      <c r="CV381" s="451"/>
      <c r="CW381" s="451"/>
      <c r="CX381" s="451"/>
      <c r="CY381" s="451"/>
      <c r="CZ381" s="451"/>
      <c r="DA381" s="451"/>
      <c r="DB381" s="451"/>
      <c r="DC381" s="451"/>
      <c r="DD381" s="451"/>
      <c r="DE381" s="451"/>
      <c r="DF381" s="451"/>
      <c r="DG381" s="451"/>
      <c r="DH381" s="451"/>
      <c r="DI381" s="451"/>
      <c r="DJ381" s="451"/>
      <c r="DK381" s="507"/>
      <c r="DL381" s="507"/>
      <c r="DM381" s="507"/>
      <c r="DN381" s="507"/>
      <c r="DO381" s="507"/>
      <c r="DP381" s="507"/>
      <c r="DQ381" s="507"/>
      <c r="DR381" s="507"/>
      <c r="DS381" s="507"/>
      <c r="DT381" s="507"/>
      <c r="DU381" s="507"/>
      <c r="DV381" s="507"/>
      <c r="DW381" s="472"/>
      <c r="DX381" s="858"/>
      <c r="DY381" s="706"/>
      <c r="DZ381" s="1104"/>
      <c r="EA381" s="1068"/>
      <c r="EB381" s="913"/>
      <c r="EC381" s="913"/>
      <c r="ED381" s="913"/>
      <c r="EE381" s="913"/>
      <c r="EF381" s="1067"/>
      <c r="EG381" s="1107"/>
      <c r="EI381" s="858"/>
      <c r="EJ381" s="877"/>
      <c r="ER381" s="486"/>
    </row>
    <row r="382" spans="1:182" s="32" customFormat="1" outlineLevel="2" x14ac:dyDescent="0.2">
      <c r="A382" s="1095"/>
      <c r="B382" s="1096"/>
      <c r="C382" s="1097"/>
      <c r="D382" s="1098"/>
      <c r="E382" s="452" t="s">
        <v>415</v>
      </c>
      <c r="F382" s="453" t="s">
        <v>410</v>
      </c>
      <c r="G382" s="454">
        <f t="shared" ref="G382:P384" si="39">SUMIFS(G$16:G$378,$F$16:$F$378,$F382)</f>
        <v>0</v>
      </c>
      <c r="H382" s="454">
        <f t="shared" si="39"/>
        <v>0</v>
      </c>
      <c r="I382" s="454">
        <f t="shared" si="39"/>
        <v>0</v>
      </c>
      <c r="J382" s="454">
        <f t="shared" si="39"/>
        <v>0</v>
      </c>
      <c r="K382" s="454">
        <f t="shared" si="39"/>
        <v>0</v>
      </c>
      <c r="L382" s="454">
        <f t="shared" si="39"/>
        <v>0</v>
      </c>
      <c r="M382" s="454">
        <f t="shared" si="39"/>
        <v>0</v>
      </c>
      <c r="N382" s="454">
        <f t="shared" si="39"/>
        <v>0</v>
      </c>
      <c r="O382" s="454">
        <f t="shared" si="39"/>
        <v>0</v>
      </c>
      <c r="P382" s="454">
        <f t="shared" si="39"/>
        <v>0</v>
      </c>
      <c r="Q382" s="454">
        <f t="shared" ref="Q382:Z384" si="40">SUMIFS(Q$16:Q$378,$F$16:$F$378,$F382)</f>
        <v>0</v>
      </c>
      <c r="R382" s="454">
        <f t="shared" si="40"/>
        <v>0</v>
      </c>
      <c r="S382" s="454">
        <f t="shared" si="40"/>
        <v>0</v>
      </c>
      <c r="T382" s="454">
        <f t="shared" si="40"/>
        <v>0</v>
      </c>
      <c r="U382" s="454">
        <f t="shared" si="40"/>
        <v>0</v>
      </c>
      <c r="V382" s="454">
        <f t="shared" si="40"/>
        <v>0</v>
      </c>
      <c r="W382" s="454">
        <f t="shared" si="40"/>
        <v>0</v>
      </c>
      <c r="X382" s="454">
        <f t="shared" si="40"/>
        <v>0</v>
      </c>
      <c r="Y382" s="454">
        <f t="shared" si="40"/>
        <v>0</v>
      </c>
      <c r="Z382" s="454">
        <f t="shared" si="40"/>
        <v>0</v>
      </c>
      <c r="AA382" s="454">
        <f t="shared" ref="AA382:AJ384" si="41">SUMIFS(AA$16:AA$378,$F$16:$F$378,$F382)</f>
        <v>0</v>
      </c>
      <c r="AB382" s="454">
        <f t="shared" si="41"/>
        <v>0</v>
      </c>
      <c r="AC382" s="454">
        <f t="shared" si="41"/>
        <v>0</v>
      </c>
      <c r="AD382" s="454">
        <f t="shared" si="41"/>
        <v>0</v>
      </c>
      <c r="AE382" s="454">
        <f t="shared" si="41"/>
        <v>0</v>
      </c>
      <c r="AF382" s="454">
        <f t="shared" si="41"/>
        <v>0</v>
      </c>
      <c r="AG382" s="454">
        <f t="shared" si="41"/>
        <v>0</v>
      </c>
      <c r="AH382" s="454">
        <f t="shared" si="41"/>
        <v>0</v>
      </c>
      <c r="AI382" s="454">
        <f t="shared" si="41"/>
        <v>0</v>
      </c>
      <c r="AJ382" s="454">
        <f t="shared" si="41"/>
        <v>0</v>
      </c>
      <c r="AK382" s="454">
        <f t="shared" ref="AK382:AT384" si="42">SUMIFS(AK$16:AK$378,$F$16:$F$378,$F382)</f>
        <v>0</v>
      </c>
      <c r="AL382" s="454">
        <f t="shared" si="42"/>
        <v>0</v>
      </c>
      <c r="AM382" s="454">
        <f t="shared" si="42"/>
        <v>0</v>
      </c>
      <c r="AN382" s="454">
        <f t="shared" si="42"/>
        <v>0</v>
      </c>
      <c r="AO382" s="454">
        <f t="shared" si="42"/>
        <v>0</v>
      </c>
      <c r="AP382" s="454">
        <f t="shared" si="42"/>
        <v>0</v>
      </c>
      <c r="AQ382" s="454">
        <f t="shared" si="42"/>
        <v>0</v>
      </c>
      <c r="AR382" s="454">
        <f t="shared" si="42"/>
        <v>0</v>
      </c>
      <c r="AS382" s="454">
        <f t="shared" si="42"/>
        <v>0</v>
      </c>
      <c r="AT382" s="454">
        <f t="shared" si="42"/>
        <v>0</v>
      </c>
      <c r="AU382" s="454">
        <f t="shared" ref="AU382:BD384" si="43">SUMIFS(AU$16:AU$378,$F$16:$F$378,$F382)</f>
        <v>0</v>
      </c>
      <c r="AV382" s="454">
        <f t="shared" si="43"/>
        <v>0</v>
      </c>
      <c r="AW382" s="454">
        <f t="shared" si="43"/>
        <v>0</v>
      </c>
      <c r="AX382" s="454">
        <f t="shared" si="43"/>
        <v>0</v>
      </c>
      <c r="AY382" s="454">
        <f t="shared" si="43"/>
        <v>0</v>
      </c>
      <c r="AZ382" s="454">
        <f t="shared" si="43"/>
        <v>0</v>
      </c>
      <c r="BA382" s="454">
        <f t="shared" si="43"/>
        <v>0</v>
      </c>
      <c r="BB382" s="454">
        <f t="shared" si="43"/>
        <v>1049.7398693333487</v>
      </c>
      <c r="BC382" s="454">
        <f t="shared" si="43"/>
        <v>0</v>
      </c>
      <c r="BD382" s="454">
        <f t="shared" si="43"/>
        <v>573.03771900000004</v>
      </c>
      <c r="BE382" s="454">
        <f t="shared" ref="BE382:BN384" si="44">SUMIFS(BE$16:BE$378,$F$16:$F$378,$F382)</f>
        <v>364.69778300000002</v>
      </c>
      <c r="BF382" s="454">
        <f t="shared" si="44"/>
        <v>2891.6475169999999</v>
      </c>
      <c r="BG382" s="454">
        <f t="shared" si="44"/>
        <v>1429.105955</v>
      </c>
      <c r="BH382" s="454">
        <f t="shared" si="44"/>
        <v>981.85646799999995</v>
      </c>
      <c r="BI382" s="454">
        <f t="shared" si="44"/>
        <v>976.15696700000001</v>
      </c>
      <c r="BJ382" s="454">
        <f t="shared" si="44"/>
        <v>5431.4055439999993</v>
      </c>
      <c r="BK382" s="454">
        <f t="shared" si="44"/>
        <v>301.425431</v>
      </c>
      <c r="BL382" s="454">
        <f t="shared" si="44"/>
        <v>1443.5778289999998</v>
      </c>
      <c r="BM382" s="454">
        <f t="shared" si="44"/>
        <v>719.21669199999997</v>
      </c>
      <c r="BN382" s="454">
        <f t="shared" si="44"/>
        <v>5278.0014069999997</v>
      </c>
      <c r="BO382" s="454">
        <f t="shared" ref="BO382:BX384" si="45">SUMIFS(BO$16:BO$378,$F$16:$F$378,$F382)</f>
        <v>1625.296239</v>
      </c>
      <c r="BP382" s="454">
        <f t="shared" si="45"/>
        <v>16.95</v>
      </c>
      <c r="BQ382" s="454">
        <f t="shared" si="45"/>
        <v>1511.8370180000002</v>
      </c>
      <c r="BR382" s="454">
        <f t="shared" si="45"/>
        <v>926.50023669991185</v>
      </c>
      <c r="BS382" s="454">
        <f t="shared" si="45"/>
        <v>327.51360199999999</v>
      </c>
      <c r="BT382" s="454">
        <f t="shared" si="45"/>
        <v>0</v>
      </c>
      <c r="BU382" s="454">
        <f t="shared" si="45"/>
        <v>2645.76310362</v>
      </c>
      <c r="BV382" s="454">
        <f t="shared" si="45"/>
        <v>1700.1820392300001</v>
      </c>
      <c r="BW382" s="454">
        <f t="shared" si="45"/>
        <v>149.84839700000001</v>
      </c>
      <c r="BX382" s="454">
        <f t="shared" si="45"/>
        <v>1132.9005099999999</v>
      </c>
      <c r="BY382" s="454">
        <f t="shared" ref="BY382:CH384" si="46">SUMIFS(BY$16:BY$378,$F$16:$F$378,$F382)</f>
        <v>431.978387</v>
      </c>
      <c r="BZ382" s="454">
        <f t="shared" si="46"/>
        <v>1749.044942</v>
      </c>
      <c r="CA382" s="454">
        <f t="shared" si="46"/>
        <v>0</v>
      </c>
      <c r="CB382" s="454">
        <f t="shared" si="46"/>
        <v>638.85336700000005</v>
      </c>
      <c r="CC382" s="454">
        <f t="shared" si="46"/>
        <v>1007.351437</v>
      </c>
      <c r="CD382" s="454">
        <f t="shared" si="46"/>
        <v>1191.807773</v>
      </c>
      <c r="CE382" s="454">
        <f t="shared" si="46"/>
        <v>1865.7968851099999</v>
      </c>
      <c r="CF382" s="454">
        <f t="shared" si="46"/>
        <v>917.81090889000006</v>
      </c>
      <c r="CG382" s="454">
        <f t="shared" si="46"/>
        <v>1260.7581769999999</v>
      </c>
      <c r="CH382" s="454">
        <f t="shared" si="46"/>
        <v>713.38814500000001</v>
      </c>
      <c r="CI382" s="454">
        <f t="shared" ref="CI382:CR384" si="47">SUMIFS(CI$16:CI$378,$F$16:$F$378,$F382)</f>
        <v>1858.2313140000001</v>
      </c>
      <c r="CJ382" s="454">
        <f t="shared" si="47"/>
        <v>1228.8653879999999</v>
      </c>
      <c r="CK382" s="454">
        <f t="shared" si="47"/>
        <v>1111.6229699999999</v>
      </c>
      <c r="CL382" s="454">
        <f t="shared" si="47"/>
        <v>2007.6808510000001</v>
      </c>
      <c r="CM382" s="454">
        <f t="shared" si="47"/>
        <v>32.294866999999996</v>
      </c>
      <c r="CN382" s="454">
        <f t="shared" si="47"/>
        <v>1982.8639249999999</v>
      </c>
      <c r="CO382" s="454">
        <f t="shared" si="47"/>
        <v>479.356673</v>
      </c>
      <c r="CP382" s="454">
        <f t="shared" si="47"/>
        <v>2328.236214</v>
      </c>
      <c r="CQ382" s="454">
        <f t="shared" si="47"/>
        <v>192.35630399999999</v>
      </c>
      <c r="CR382" s="454">
        <f t="shared" si="47"/>
        <v>3097.9205430000002</v>
      </c>
      <c r="CS382" s="454">
        <f t="shared" ref="CS382:DB384" si="48">SUMIFS(CS$16:CS$378,$F$16:$F$378,$F382)</f>
        <v>4302.6122269999996</v>
      </c>
      <c r="CT382" s="454">
        <f t="shared" si="48"/>
        <v>461.01086500000002</v>
      </c>
      <c r="CU382" s="454">
        <f t="shared" si="48"/>
        <v>433.74910800000032</v>
      </c>
      <c r="CV382" s="454">
        <f t="shared" si="48"/>
        <v>2215.057127</v>
      </c>
      <c r="CW382" s="454">
        <f t="shared" si="48"/>
        <v>110.75746100000001</v>
      </c>
      <c r="CX382" s="454">
        <f t="shared" si="48"/>
        <v>1766.289014</v>
      </c>
      <c r="CY382" s="454">
        <f t="shared" si="48"/>
        <v>113.6492760000003</v>
      </c>
      <c r="CZ382" s="454">
        <f t="shared" si="48"/>
        <v>140.70693499999999</v>
      </c>
      <c r="DA382" s="454">
        <f t="shared" si="48"/>
        <v>1417.3021819999999</v>
      </c>
      <c r="DB382" s="454">
        <f t="shared" si="48"/>
        <v>122.791279</v>
      </c>
      <c r="DC382" s="454">
        <f t="shared" ref="DC382:DL384" si="49">SUMIFS(DC$16:DC$378,$F$16:$F$378,$F382)</f>
        <v>1415.9580449999999</v>
      </c>
      <c r="DD382" s="454">
        <f t="shared" si="49"/>
        <v>432.32234500000004</v>
      </c>
      <c r="DE382" s="454">
        <f t="shared" si="49"/>
        <v>1180.3660169999998</v>
      </c>
      <c r="DF382" s="454">
        <f t="shared" si="49"/>
        <v>4062.569437255554</v>
      </c>
      <c r="DG382" s="454">
        <f t="shared" si="49"/>
        <v>1553.1398722538565</v>
      </c>
      <c r="DH382" s="454">
        <f>SUMIFS(DH$16:DH$378,$F$16:$F$378,$F382)</f>
        <v>2085.8592468514712</v>
      </c>
      <c r="DI382" s="454">
        <f t="shared" si="49"/>
        <v>2080.7195537947614</v>
      </c>
      <c r="DJ382" s="455">
        <f t="shared" si="49"/>
        <v>8651.4610016233346</v>
      </c>
      <c r="DK382" s="455">
        <f t="shared" si="49"/>
        <v>4841.4019283552316</v>
      </c>
      <c r="DL382" s="455">
        <f t="shared" si="49"/>
        <v>3189.348768953515</v>
      </c>
      <c r="DM382" s="455">
        <f t="shared" ref="DM382:DV384" si="50">SUMIFS(DM$16:DM$378,$F$16:$F$378,$F382)</f>
        <v>7762.8325271656367</v>
      </c>
      <c r="DN382" s="455">
        <f t="shared" si="50"/>
        <v>5313.7992319467712</v>
      </c>
      <c r="DO382" s="455">
        <f t="shared" si="50"/>
        <v>4541.7671828557277</v>
      </c>
      <c r="DP382" s="455">
        <f t="shared" si="50"/>
        <v>3174.1205808250256</v>
      </c>
      <c r="DQ382" s="455">
        <f t="shared" si="50"/>
        <v>3302.6183578250257</v>
      </c>
      <c r="DR382" s="455">
        <f t="shared" si="50"/>
        <v>2455.6252851249724</v>
      </c>
      <c r="DS382" s="455">
        <f t="shared" si="50"/>
        <v>2415.2800631132563</v>
      </c>
      <c r="DT382" s="455">
        <f t="shared" si="50"/>
        <v>3036.4090083549631</v>
      </c>
      <c r="DU382" s="455">
        <f t="shared" si="50"/>
        <v>1248.3068996073393</v>
      </c>
      <c r="DV382" s="455">
        <f>SUMIFS(DV$16:DV$378,$F$16:$F$378,$F382)</f>
        <v>1965.5968182103252</v>
      </c>
      <c r="DW382" s="473">
        <f>SUM(G382:DV382)</f>
        <v>131366.30704300001</v>
      </c>
      <c r="DX382" s="359">
        <f>+DW8-DW382</f>
        <v>0</v>
      </c>
      <c r="DY382" s="715"/>
      <c r="DZ382" s="576"/>
      <c r="EA382" s="64"/>
      <c r="EB382" s="238"/>
      <c r="EC382" s="238"/>
      <c r="EL382" s="64"/>
      <c r="EM382" s="586"/>
      <c r="ER382" s="486"/>
      <c r="EV382" s="64"/>
      <c r="EY382" s="64"/>
    </row>
    <row r="383" spans="1:182" s="32" customFormat="1" outlineLevel="2" x14ac:dyDescent="0.2">
      <c r="A383" s="1095"/>
      <c r="B383" s="1096"/>
      <c r="C383" s="1097"/>
      <c r="D383" s="1098"/>
      <c r="E383" s="456" t="s">
        <v>415</v>
      </c>
      <c r="F383" s="326" t="s">
        <v>210</v>
      </c>
      <c r="G383" s="396">
        <f t="shared" si="39"/>
        <v>0</v>
      </c>
      <c r="H383" s="396">
        <f t="shared" si="39"/>
        <v>0</v>
      </c>
      <c r="I383" s="396">
        <f t="shared" si="39"/>
        <v>0</v>
      </c>
      <c r="J383" s="396">
        <f t="shared" si="39"/>
        <v>0</v>
      </c>
      <c r="K383" s="396">
        <f t="shared" si="39"/>
        <v>0</v>
      </c>
      <c r="L383" s="396">
        <f t="shared" si="39"/>
        <v>0</v>
      </c>
      <c r="M383" s="396">
        <f t="shared" si="39"/>
        <v>0</v>
      </c>
      <c r="N383" s="396">
        <f t="shared" si="39"/>
        <v>0</v>
      </c>
      <c r="O383" s="396">
        <f t="shared" si="39"/>
        <v>0</v>
      </c>
      <c r="P383" s="396">
        <f t="shared" si="39"/>
        <v>0</v>
      </c>
      <c r="Q383" s="396">
        <f t="shared" si="40"/>
        <v>0</v>
      </c>
      <c r="R383" s="396">
        <f t="shared" si="40"/>
        <v>0</v>
      </c>
      <c r="S383" s="396">
        <f t="shared" si="40"/>
        <v>0</v>
      </c>
      <c r="T383" s="396">
        <f t="shared" si="40"/>
        <v>0</v>
      </c>
      <c r="U383" s="396">
        <f t="shared" si="40"/>
        <v>0</v>
      </c>
      <c r="V383" s="396">
        <f t="shared" si="40"/>
        <v>0</v>
      </c>
      <c r="W383" s="396">
        <f t="shared" si="40"/>
        <v>0</v>
      </c>
      <c r="X383" s="396">
        <f t="shared" si="40"/>
        <v>5174.7461869999997</v>
      </c>
      <c r="Y383" s="396">
        <f t="shared" si="40"/>
        <v>697.38541599999996</v>
      </c>
      <c r="Z383" s="396">
        <f t="shared" si="40"/>
        <v>283.263848</v>
      </c>
      <c r="AA383" s="396">
        <f t="shared" si="41"/>
        <v>1084.7712060000001</v>
      </c>
      <c r="AB383" s="396">
        <f t="shared" si="41"/>
        <v>1209.734148</v>
      </c>
      <c r="AC383" s="396">
        <f t="shared" si="41"/>
        <v>0</v>
      </c>
      <c r="AD383" s="396">
        <f t="shared" si="41"/>
        <v>1.774178</v>
      </c>
      <c r="AE383" s="396">
        <f t="shared" si="41"/>
        <v>1110.0507152</v>
      </c>
      <c r="AF383" s="396">
        <f t="shared" si="41"/>
        <v>329.17713549999996</v>
      </c>
      <c r="AG383" s="396">
        <f t="shared" si="41"/>
        <v>1675.6301420200002</v>
      </c>
      <c r="AH383" s="396">
        <f t="shared" si="41"/>
        <v>370.48395934000001</v>
      </c>
      <c r="AI383" s="396">
        <f t="shared" si="41"/>
        <v>2508.8267756599998</v>
      </c>
      <c r="AJ383" s="396">
        <f t="shared" si="41"/>
        <v>124.901376</v>
      </c>
      <c r="AK383" s="396">
        <f t="shared" si="42"/>
        <v>6433.5763781799997</v>
      </c>
      <c r="AL383" s="396">
        <f t="shared" si="42"/>
        <v>113.80489534</v>
      </c>
      <c r="AM383" s="396">
        <f t="shared" si="42"/>
        <v>3367.8104639999997</v>
      </c>
      <c r="AN383" s="396">
        <f t="shared" si="42"/>
        <v>1244.545627</v>
      </c>
      <c r="AO383" s="396">
        <f t="shared" si="42"/>
        <v>3281.4109439999997</v>
      </c>
      <c r="AP383" s="396">
        <f t="shared" si="42"/>
        <v>3008.6155254999999</v>
      </c>
      <c r="AQ383" s="396">
        <f t="shared" si="42"/>
        <v>1536.0230929999998</v>
      </c>
      <c r="AR383" s="396">
        <f t="shared" si="42"/>
        <v>1084.412783</v>
      </c>
      <c r="AS383" s="396">
        <f t="shared" si="42"/>
        <v>1486.6483180000002</v>
      </c>
      <c r="AT383" s="396">
        <f t="shared" si="42"/>
        <v>1113.4184620000001</v>
      </c>
      <c r="AU383" s="396">
        <f t="shared" si="43"/>
        <v>702.32316059999994</v>
      </c>
      <c r="AV383" s="396">
        <f t="shared" si="43"/>
        <v>56.407322000000001</v>
      </c>
      <c r="AW383" s="396">
        <f t="shared" si="43"/>
        <v>44.777786999999996</v>
      </c>
      <c r="AX383" s="396">
        <f t="shared" si="43"/>
        <v>889.96613300000013</v>
      </c>
      <c r="AY383" s="396">
        <f t="shared" si="43"/>
        <v>1691.4276457500005</v>
      </c>
      <c r="AZ383" s="396">
        <f t="shared" si="43"/>
        <v>900.48429299999998</v>
      </c>
      <c r="BA383" s="396">
        <f t="shared" si="43"/>
        <v>32.700806</v>
      </c>
      <c r="BB383" s="396">
        <f t="shared" si="43"/>
        <v>2853.0973642400004</v>
      </c>
      <c r="BC383" s="396">
        <f t="shared" si="43"/>
        <v>0</v>
      </c>
      <c r="BD383" s="396">
        <f t="shared" si="43"/>
        <v>0</v>
      </c>
      <c r="BE383" s="396">
        <f t="shared" si="44"/>
        <v>1839.992303</v>
      </c>
      <c r="BF383" s="396">
        <f t="shared" si="44"/>
        <v>1156.134595</v>
      </c>
      <c r="BG383" s="396">
        <f t="shared" si="44"/>
        <v>549.60483599999998</v>
      </c>
      <c r="BH383" s="396">
        <f t="shared" si="44"/>
        <v>929.40077799999995</v>
      </c>
      <c r="BI383" s="396">
        <f t="shared" si="44"/>
        <v>225.519678</v>
      </c>
      <c r="BJ383" s="396">
        <f t="shared" si="44"/>
        <v>0</v>
      </c>
      <c r="BK383" s="396">
        <f t="shared" si="44"/>
        <v>0</v>
      </c>
      <c r="BL383" s="396">
        <f t="shared" si="44"/>
        <v>306.09477883791396</v>
      </c>
      <c r="BM383" s="396">
        <f t="shared" si="44"/>
        <v>459.75425100000001</v>
      </c>
      <c r="BN383" s="396">
        <f t="shared" si="44"/>
        <v>2037.301741</v>
      </c>
      <c r="BO383" s="396">
        <f t="shared" si="45"/>
        <v>1060.8358825800001</v>
      </c>
      <c r="BP383" s="396">
        <f t="shared" si="45"/>
        <v>3170.2237112400003</v>
      </c>
      <c r="BQ383" s="396">
        <f t="shared" si="45"/>
        <v>0</v>
      </c>
      <c r="BR383" s="396">
        <f t="shared" si="45"/>
        <v>250.56916792008818</v>
      </c>
      <c r="BS383" s="511">
        <f t="shared" si="45"/>
        <v>0</v>
      </c>
      <c r="BT383" s="396">
        <f t="shared" si="45"/>
        <v>0</v>
      </c>
      <c r="BU383" s="396">
        <f t="shared" si="45"/>
        <v>0</v>
      </c>
      <c r="BV383" s="396">
        <f t="shared" si="45"/>
        <v>0</v>
      </c>
      <c r="BW383" s="396">
        <f t="shared" si="45"/>
        <v>0</v>
      </c>
      <c r="BX383" s="396">
        <f t="shared" si="45"/>
        <v>0</v>
      </c>
      <c r="BY383" s="396">
        <f t="shared" si="46"/>
        <v>0</v>
      </c>
      <c r="BZ383" s="396">
        <f t="shared" si="46"/>
        <v>0</v>
      </c>
      <c r="CA383" s="396">
        <f t="shared" si="46"/>
        <v>0</v>
      </c>
      <c r="CB383" s="396">
        <f t="shared" si="46"/>
        <v>0</v>
      </c>
      <c r="CC383" s="396">
        <f t="shared" si="46"/>
        <v>0</v>
      </c>
      <c r="CD383" s="396">
        <f t="shared" si="46"/>
        <v>0</v>
      </c>
      <c r="CE383" s="396">
        <f t="shared" si="46"/>
        <v>0</v>
      </c>
      <c r="CF383" s="396">
        <f t="shared" si="46"/>
        <v>0</v>
      </c>
      <c r="CG383" s="396">
        <f t="shared" si="46"/>
        <v>0</v>
      </c>
      <c r="CH383" s="396">
        <f t="shared" si="46"/>
        <v>0</v>
      </c>
      <c r="CI383" s="396">
        <f t="shared" si="47"/>
        <v>0</v>
      </c>
      <c r="CJ383" s="396">
        <f t="shared" si="47"/>
        <v>0</v>
      </c>
      <c r="CK383" s="396">
        <f t="shared" si="47"/>
        <v>0</v>
      </c>
      <c r="CL383" s="396">
        <f t="shared" si="47"/>
        <v>0</v>
      </c>
      <c r="CM383" s="396">
        <f t="shared" si="47"/>
        <v>0</v>
      </c>
      <c r="CN383" s="396">
        <f t="shared" si="47"/>
        <v>0</v>
      </c>
      <c r="CO383" s="396">
        <f t="shared" si="47"/>
        <v>0</v>
      </c>
      <c r="CP383" s="396">
        <f t="shared" si="47"/>
        <v>0</v>
      </c>
      <c r="CQ383" s="396">
        <f t="shared" si="47"/>
        <v>0</v>
      </c>
      <c r="CR383" s="396">
        <f t="shared" si="47"/>
        <v>0</v>
      </c>
      <c r="CS383" s="396">
        <f t="shared" si="48"/>
        <v>0</v>
      </c>
      <c r="CT383" s="396">
        <f t="shared" si="48"/>
        <v>0</v>
      </c>
      <c r="CU383" s="396">
        <f t="shared" si="48"/>
        <v>0</v>
      </c>
      <c r="CV383" s="396">
        <f t="shared" si="48"/>
        <v>0</v>
      </c>
      <c r="CW383" s="396">
        <f t="shared" si="48"/>
        <v>0</v>
      </c>
      <c r="CX383" s="396">
        <f t="shared" si="48"/>
        <v>0</v>
      </c>
      <c r="CY383" s="396">
        <f t="shared" si="48"/>
        <v>0</v>
      </c>
      <c r="CZ383" s="396">
        <f t="shared" si="48"/>
        <v>0</v>
      </c>
      <c r="DA383" s="396">
        <f t="shared" si="48"/>
        <v>0</v>
      </c>
      <c r="DB383" s="396">
        <f t="shared" si="48"/>
        <v>0</v>
      </c>
      <c r="DC383" s="396">
        <f t="shared" si="49"/>
        <v>0</v>
      </c>
      <c r="DD383" s="396">
        <f t="shared" si="49"/>
        <v>0</v>
      </c>
      <c r="DE383" s="396">
        <f t="shared" si="49"/>
        <v>0</v>
      </c>
      <c r="DF383" s="396">
        <f t="shared" si="49"/>
        <v>0</v>
      </c>
      <c r="DG383" s="396">
        <f t="shared" si="49"/>
        <v>0</v>
      </c>
      <c r="DH383" s="396">
        <f>SUMIFS(DH$16:DH$378,$F$16:$F$378,$F383)</f>
        <v>0</v>
      </c>
      <c r="DI383" s="396">
        <f t="shared" si="49"/>
        <v>0</v>
      </c>
      <c r="DJ383" s="447">
        <f t="shared" si="49"/>
        <v>0</v>
      </c>
      <c r="DK383" s="447">
        <f t="shared" si="49"/>
        <v>0</v>
      </c>
      <c r="DL383" s="447">
        <f t="shared" si="49"/>
        <v>0</v>
      </c>
      <c r="DM383" s="447">
        <f t="shared" si="50"/>
        <v>0</v>
      </c>
      <c r="DN383" s="447">
        <f t="shared" si="50"/>
        <v>0</v>
      </c>
      <c r="DO383" s="447">
        <f t="shared" si="50"/>
        <v>0</v>
      </c>
      <c r="DP383" s="447">
        <f t="shared" si="50"/>
        <v>0</v>
      </c>
      <c r="DQ383" s="447">
        <f t="shared" si="50"/>
        <v>0</v>
      </c>
      <c r="DR383" s="447">
        <f t="shared" si="50"/>
        <v>0</v>
      </c>
      <c r="DS383" s="447">
        <f t="shared" si="50"/>
        <v>0</v>
      </c>
      <c r="DT383" s="447">
        <f t="shared" si="50"/>
        <v>0</v>
      </c>
      <c r="DU383" s="447">
        <f t="shared" si="50"/>
        <v>0</v>
      </c>
      <c r="DV383" s="447">
        <f>SUMIFS(DV$16:DV$378,$F$16:$F$378,$F383)</f>
        <v>0</v>
      </c>
      <c r="DW383" s="467">
        <f>SUM(G383:DV383)</f>
        <v>56397.627810908009</v>
      </c>
      <c r="DX383" s="359">
        <f>+DW7-DW383</f>
        <v>0</v>
      </c>
      <c r="DY383" s="716"/>
      <c r="DZ383" s="188"/>
      <c r="EA383" s="238"/>
      <c r="EB383" s="238"/>
      <c r="EC383" s="238"/>
      <c r="EL383" s="288"/>
      <c r="ER383" s="486"/>
      <c r="EV383" s="64"/>
      <c r="EY383" s="64"/>
      <c r="EZ383" s="64"/>
    </row>
    <row r="384" spans="1:182" s="32" customFormat="1" ht="12.75" outlineLevel="2" thickBot="1" x14ac:dyDescent="0.25">
      <c r="A384" s="1095"/>
      <c r="B384" s="1096"/>
      <c r="C384" s="1097"/>
      <c r="D384" s="1098"/>
      <c r="E384" s="457" t="s">
        <v>415</v>
      </c>
      <c r="F384" s="327" t="s">
        <v>211</v>
      </c>
      <c r="G384" s="574">
        <f t="shared" si="39"/>
        <v>5936.4696560399998</v>
      </c>
      <c r="H384" s="574">
        <f t="shared" si="39"/>
        <v>8073.4380979605548</v>
      </c>
      <c r="I384" s="574">
        <f t="shared" si="39"/>
        <v>0</v>
      </c>
      <c r="J384" s="574">
        <f t="shared" si="39"/>
        <v>0</v>
      </c>
      <c r="K384" s="574">
        <f t="shared" si="39"/>
        <v>0</v>
      </c>
      <c r="L384" s="574">
        <f t="shared" si="39"/>
        <v>0</v>
      </c>
      <c r="M384" s="574">
        <f t="shared" si="39"/>
        <v>0</v>
      </c>
      <c r="N384" s="574">
        <f t="shared" si="39"/>
        <v>0</v>
      </c>
      <c r="O384" s="574">
        <f t="shared" si="39"/>
        <v>0</v>
      </c>
      <c r="P384" s="574">
        <f t="shared" si="39"/>
        <v>0</v>
      </c>
      <c r="Q384" s="397">
        <f t="shared" si="40"/>
        <v>62.562000000000005</v>
      </c>
      <c r="R384" s="397">
        <f t="shared" si="40"/>
        <v>110.505015</v>
      </c>
      <c r="S384" s="397">
        <f t="shared" si="40"/>
        <v>26.798509549999999</v>
      </c>
      <c r="T384" s="397">
        <f t="shared" si="40"/>
        <v>77.325733159999999</v>
      </c>
      <c r="U384" s="397">
        <f t="shared" si="40"/>
        <v>56.10479394</v>
      </c>
      <c r="V384" s="397">
        <f t="shared" si="40"/>
        <v>302.42249038</v>
      </c>
      <c r="W384" s="397">
        <f t="shared" si="40"/>
        <v>276.35894181999998</v>
      </c>
      <c r="X384" s="397">
        <f t="shared" si="40"/>
        <v>57.619665740000002</v>
      </c>
      <c r="Y384" s="397">
        <f t="shared" si="40"/>
        <v>1561.3355779999999</v>
      </c>
      <c r="Z384" s="397">
        <f t="shared" si="40"/>
        <v>116.988809</v>
      </c>
      <c r="AA384" s="397">
        <f t="shared" si="41"/>
        <v>68.417507999999998</v>
      </c>
      <c r="AB384" s="397">
        <f t="shared" si="41"/>
        <v>165.24008500000002</v>
      </c>
      <c r="AC384" s="397">
        <f t="shared" si="41"/>
        <v>1549.0139270000002</v>
      </c>
      <c r="AD384" s="397">
        <f t="shared" si="41"/>
        <v>908.12394799999993</v>
      </c>
      <c r="AE384" s="397">
        <f t="shared" si="41"/>
        <v>1607.1988650000001</v>
      </c>
      <c r="AF384" s="397">
        <f t="shared" si="41"/>
        <v>1064.11171214</v>
      </c>
      <c r="AG384" s="397">
        <f t="shared" si="41"/>
        <v>1388.0209000000002</v>
      </c>
      <c r="AH384" s="397">
        <f t="shared" si="41"/>
        <v>2059.0455574499997</v>
      </c>
      <c r="AI384" s="397">
        <f t="shared" si="41"/>
        <v>2567.0184450199999</v>
      </c>
      <c r="AJ384" s="397">
        <f t="shared" si="41"/>
        <v>188.52719400000001</v>
      </c>
      <c r="AK384" s="397">
        <f t="shared" si="42"/>
        <v>62.619261999999999</v>
      </c>
      <c r="AL384" s="397">
        <f t="shared" si="42"/>
        <v>2179.9373832199999</v>
      </c>
      <c r="AM384" s="397">
        <f t="shared" si="42"/>
        <v>1134.57826275</v>
      </c>
      <c r="AN384" s="397">
        <f t="shared" si="42"/>
        <v>772.108969</v>
      </c>
      <c r="AO384" s="397">
        <f t="shared" si="42"/>
        <v>129.65218200000001</v>
      </c>
      <c r="AP384" s="397">
        <f t="shared" si="42"/>
        <v>1245.751154</v>
      </c>
      <c r="AQ384" s="397">
        <f t="shared" si="42"/>
        <v>125.84849699999999</v>
      </c>
      <c r="AR384" s="397">
        <f t="shared" si="42"/>
        <v>43.398527999999999</v>
      </c>
      <c r="AS384" s="397">
        <f t="shared" si="42"/>
        <v>69.517957999999993</v>
      </c>
      <c r="AT384" s="397">
        <f t="shared" si="42"/>
        <v>1290.8139639999999</v>
      </c>
      <c r="AU384" s="397">
        <f t="shared" si="43"/>
        <v>698.89815640000006</v>
      </c>
      <c r="AV384" s="397">
        <f t="shared" si="43"/>
        <v>911.54546899999991</v>
      </c>
      <c r="AW384" s="397">
        <f t="shared" si="43"/>
        <v>560.91365499999995</v>
      </c>
      <c r="AX384" s="397">
        <f t="shared" si="43"/>
        <v>260.70896299999998</v>
      </c>
      <c r="AY384" s="397">
        <f t="shared" si="43"/>
        <v>1138.5942964999999</v>
      </c>
      <c r="AZ384" s="397">
        <f t="shared" si="43"/>
        <v>254.15233899999998</v>
      </c>
      <c r="BA384" s="397">
        <f t="shared" si="43"/>
        <v>807.02449100000001</v>
      </c>
      <c r="BB384" s="397">
        <f t="shared" si="43"/>
        <v>1732.6149431666513</v>
      </c>
      <c r="BC384" s="397">
        <f t="shared" si="43"/>
        <v>11.25</v>
      </c>
      <c r="BD384" s="397">
        <f t="shared" si="43"/>
        <v>591.99158699999998</v>
      </c>
      <c r="BE384" s="397">
        <f t="shared" si="44"/>
        <v>505.82464900000002</v>
      </c>
      <c r="BF384" s="397">
        <f t="shared" si="44"/>
        <v>319.81127000000004</v>
      </c>
      <c r="BG384" s="397">
        <f t="shared" si="44"/>
        <v>1189.426234</v>
      </c>
      <c r="BH384" s="397">
        <f t="shared" si="44"/>
        <v>1008.3090530000002</v>
      </c>
      <c r="BI384" s="397">
        <f t="shared" si="44"/>
        <v>160.47203500000001</v>
      </c>
      <c r="BJ384" s="397">
        <f t="shared" si="44"/>
        <v>98.841062999999991</v>
      </c>
      <c r="BK384" s="397">
        <f t="shared" si="44"/>
        <v>107.776082</v>
      </c>
      <c r="BL384" s="397">
        <f t="shared" si="44"/>
        <v>377.63826516208599</v>
      </c>
      <c r="BM384" s="397">
        <f t="shared" si="44"/>
        <v>242.67404099999999</v>
      </c>
      <c r="BN384" s="397">
        <f t="shared" si="44"/>
        <v>352.00981300000001</v>
      </c>
      <c r="BO384" s="512">
        <f t="shared" si="45"/>
        <v>656.70749499999999</v>
      </c>
      <c r="BP384" s="397">
        <f t="shared" si="45"/>
        <v>260.176244</v>
      </c>
      <c r="BQ384" s="397">
        <f t="shared" si="45"/>
        <v>95.061228999999997</v>
      </c>
      <c r="BR384" s="397">
        <f t="shared" si="45"/>
        <v>179.66163999999998</v>
      </c>
      <c r="BS384" s="397">
        <f t="shared" si="45"/>
        <v>623.22398099999998</v>
      </c>
      <c r="BT384" s="397">
        <f t="shared" si="45"/>
        <v>365.99358800000005</v>
      </c>
      <c r="BU384" s="602">
        <f t="shared" si="45"/>
        <v>248.774674</v>
      </c>
      <c r="BV384" s="397">
        <f t="shared" si="45"/>
        <v>285.11382800000001</v>
      </c>
      <c r="BW384" s="397">
        <f t="shared" si="45"/>
        <v>488.99602599999997</v>
      </c>
      <c r="BX384" s="603">
        <f t="shared" si="45"/>
        <v>665.40385400000002</v>
      </c>
      <c r="BY384" s="397">
        <f t="shared" si="46"/>
        <v>232.63294399999998</v>
      </c>
      <c r="BZ384" s="397">
        <f t="shared" si="46"/>
        <v>371.424916</v>
      </c>
      <c r="CA384" s="397">
        <f t="shared" si="46"/>
        <v>251.62536399999999</v>
      </c>
      <c r="CB384" s="397">
        <f t="shared" si="46"/>
        <v>110.64315999999999</v>
      </c>
      <c r="CC384" s="397">
        <f t="shared" si="46"/>
        <v>186.13212700000003</v>
      </c>
      <c r="CD384" s="397">
        <f t="shared" si="46"/>
        <v>326.78438900000003</v>
      </c>
      <c r="CE384" s="397">
        <f t="shared" si="46"/>
        <v>178.98802800000001</v>
      </c>
      <c r="CF384" s="397">
        <f t="shared" si="46"/>
        <v>478.97282599999994</v>
      </c>
      <c r="CG384" s="397">
        <f t="shared" si="46"/>
        <v>236.03612600000002</v>
      </c>
      <c r="CH384" s="397">
        <f t="shared" si="46"/>
        <v>244.99884304</v>
      </c>
      <c r="CI384" s="397">
        <f t="shared" si="47"/>
        <v>145.271467</v>
      </c>
      <c r="CJ384" s="397">
        <f t="shared" si="47"/>
        <v>417.37904000000003</v>
      </c>
      <c r="CK384" s="397">
        <f t="shared" si="47"/>
        <v>159.902919</v>
      </c>
      <c r="CL384" s="397">
        <f t="shared" si="47"/>
        <v>290.84369100000004</v>
      </c>
      <c r="CM384" s="397">
        <f t="shared" si="47"/>
        <v>159.728486</v>
      </c>
      <c r="CN384" s="574">
        <f t="shared" si="47"/>
        <v>58.59704</v>
      </c>
      <c r="CO384" s="397">
        <f t="shared" si="47"/>
        <v>179.13269599999998</v>
      </c>
      <c r="CP384" s="397">
        <f t="shared" si="47"/>
        <v>16.65296</v>
      </c>
      <c r="CQ384" s="397">
        <f t="shared" si="47"/>
        <v>0</v>
      </c>
      <c r="CR384" s="397">
        <f t="shared" si="47"/>
        <v>108.852881</v>
      </c>
      <c r="CS384" s="397">
        <f t="shared" si="48"/>
        <v>15.867988</v>
      </c>
      <c r="CT384" s="397">
        <f t="shared" si="48"/>
        <v>64.242107000000004</v>
      </c>
      <c r="CU384" s="397">
        <f t="shared" si="48"/>
        <v>1.1581330000000001</v>
      </c>
      <c r="CV384" s="397">
        <f t="shared" si="48"/>
        <v>115.31578300000001</v>
      </c>
      <c r="CW384" s="397">
        <f t="shared" si="48"/>
        <v>4.0331450000000002</v>
      </c>
      <c r="CX384" s="397">
        <f t="shared" si="48"/>
        <v>270.246735</v>
      </c>
      <c r="CY384" s="397">
        <f t="shared" si="48"/>
        <v>30</v>
      </c>
      <c r="CZ384" s="397">
        <f t="shared" si="48"/>
        <v>6.1</v>
      </c>
      <c r="DA384" s="397">
        <f t="shared" si="48"/>
        <v>35.384901999999997</v>
      </c>
      <c r="DB384" s="397">
        <f t="shared" si="48"/>
        <v>41.484717000000003</v>
      </c>
      <c r="DC384" s="397">
        <f t="shared" si="49"/>
        <v>35.076214</v>
      </c>
      <c r="DD384" s="397">
        <f t="shared" si="49"/>
        <v>447.50590399999999</v>
      </c>
      <c r="DE384" s="397">
        <f t="shared" si="49"/>
        <v>61.439661000000001</v>
      </c>
      <c r="DF384" s="397">
        <f t="shared" si="49"/>
        <v>605.11044319903999</v>
      </c>
      <c r="DG384" s="397">
        <f t="shared" si="49"/>
        <v>476.42484719903996</v>
      </c>
      <c r="DH384" s="397">
        <f>SUMIFS(DH$16:DH$378,$F$16:$F$378,$F384)</f>
        <v>382.92744157681778</v>
      </c>
      <c r="DI384" s="397">
        <f t="shared" si="49"/>
        <v>576.59793673237334</v>
      </c>
      <c r="DJ384" s="463">
        <f t="shared" si="49"/>
        <v>712.02329303333329</v>
      </c>
      <c r="DK384" s="463">
        <f t="shared" si="49"/>
        <v>792.78581753333344</v>
      </c>
      <c r="DL384" s="463">
        <f t="shared" si="49"/>
        <v>792.78581753333344</v>
      </c>
      <c r="DM384" s="463">
        <f t="shared" si="50"/>
        <v>792.78581753333344</v>
      </c>
      <c r="DN384" s="463">
        <f t="shared" si="50"/>
        <v>794.43281713332431</v>
      </c>
      <c r="DO384" s="463">
        <f t="shared" si="50"/>
        <v>831.97513353333329</v>
      </c>
      <c r="DP384" s="463">
        <f t="shared" si="50"/>
        <v>81.878186333333417</v>
      </c>
      <c r="DQ384" s="463">
        <f t="shared" si="50"/>
        <v>103.29646088888801</v>
      </c>
      <c r="DR384" s="463">
        <f t="shared" si="50"/>
        <v>0</v>
      </c>
      <c r="DS384" s="463">
        <f t="shared" si="50"/>
        <v>14.960689999999589</v>
      </c>
      <c r="DT384" s="463">
        <f t="shared" si="50"/>
        <v>69.234626944445012</v>
      </c>
      <c r="DU384" s="463">
        <f t="shared" si="50"/>
        <v>3180.4234977015599</v>
      </c>
      <c r="DV384" s="463">
        <f>SUMIFS(DV$16:DV$378,$F$16:$F$378,$F384)</f>
        <v>0</v>
      </c>
      <c r="DW384" s="467">
        <f>SUM(G384:DV384)</f>
        <v>65966.560575314725</v>
      </c>
      <c r="DX384" s="47">
        <f>+DW9+DW10-DW384</f>
        <v>5688.1538586852839</v>
      </c>
      <c r="DY384" s="717"/>
      <c r="EA384" s="188"/>
      <c r="EB384" s="238"/>
      <c r="EC384" s="238"/>
      <c r="ER384" s="486"/>
      <c r="EV384" s="64"/>
      <c r="EY384" s="64"/>
      <c r="EZ384" s="64"/>
    </row>
    <row r="385" spans="1:156" s="45" customFormat="1" outlineLevel="1" x14ac:dyDescent="0.2">
      <c r="A385" s="49"/>
      <c r="B385" s="49"/>
      <c r="C385" s="49"/>
      <c r="D385" s="356"/>
      <c r="E385" s="474" t="s">
        <v>416</v>
      </c>
      <c r="F385" s="320"/>
      <c r="G385" s="398">
        <f t="shared" ref="G385:AL385" si="51">SUM(G382:G384)</f>
        <v>5936.4696560399998</v>
      </c>
      <c r="H385" s="398">
        <f t="shared" si="51"/>
        <v>8073.4380979605548</v>
      </c>
      <c r="I385" s="398">
        <f t="shared" si="51"/>
        <v>0</v>
      </c>
      <c r="J385" s="398">
        <f t="shared" si="51"/>
        <v>0</v>
      </c>
      <c r="K385" s="398">
        <f t="shared" si="51"/>
        <v>0</v>
      </c>
      <c r="L385" s="398">
        <f t="shared" si="51"/>
        <v>0</v>
      </c>
      <c r="M385" s="398">
        <f t="shared" si="51"/>
        <v>0</v>
      </c>
      <c r="N385" s="398">
        <f t="shared" si="51"/>
        <v>0</v>
      </c>
      <c r="O385" s="398">
        <f t="shared" si="51"/>
        <v>0</v>
      </c>
      <c r="P385" s="398">
        <f t="shared" si="51"/>
        <v>0</v>
      </c>
      <c r="Q385" s="398">
        <f t="shared" si="51"/>
        <v>62.562000000000005</v>
      </c>
      <c r="R385" s="398">
        <f t="shared" si="51"/>
        <v>110.505015</v>
      </c>
      <c r="S385" s="398">
        <f t="shared" si="51"/>
        <v>26.798509549999999</v>
      </c>
      <c r="T385" s="398">
        <f t="shared" si="51"/>
        <v>77.325733159999999</v>
      </c>
      <c r="U385" s="398">
        <f t="shared" si="51"/>
        <v>56.10479394</v>
      </c>
      <c r="V385" s="398">
        <f t="shared" si="51"/>
        <v>302.42249038</v>
      </c>
      <c r="W385" s="398">
        <f t="shared" si="51"/>
        <v>276.35894181999998</v>
      </c>
      <c r="X385" s="398">
        <f t="shared" si="51"/>
        <v>5232.3658527399994</v>
      </c>
      <c r="Y385" s="398">
        <f t="shared" si="51"/>
        <v>2258.7209939999998</v>
      </c>
      <c r="Z385" s="398">
        <f t="shared" si="51"/>
        <v>400.252657</v>
      </c>
      <c r="AA385" s="398">
        <f t="shared" si="51"/>
        <v>1153.1887140000001</v>
      </c>
      <c r="AB385" s="398">
        <f t="shared" si="51"/>
        <v>1374.9742329999999</v>
      </c>
      <c r="AC385" s="398">
        <f t="shared" si="51"/>
        <v>1549.0139270000002</v>
      </c>
      <c r="AD385" s="398">
        <f t="shared" si="51"/>
        <v>909.89812599999993</v>
      </c>
      <c r="AE385" s="398">
        <f t="shared" si="51"/>
        <v>2717.2495802000003</v>
      </c>
      <c r="AF385" s="398">
        <f t="shared" si="51"/>
        <v>1393.2888476399999</v>
      </c>
      <c r="AG385" s="398">
        <f t="shared" si="51"/>
        <v>3063.6510420200002</v>
      </c>
      <c r="AH385" s="398">
        <f t="shared" si="51"/>
        <v>2429.5295167899999</v>
      </c>
      <c r="AI385" s="398">
        <f t="shared" si="51"/>
        <v>5075.8452206799993</v>
      </c>
      <c r="AJ385" s="398">
        <f t="shared" si="51"/>
        <v>313.42857000000004</v>
      </c>
      <c r="AK385" s="398">
        <f t="shared" si="51"/>
        <v>6496.1956401799998</v>
      </c>
      <c r="AL385" s="398">
        <f t="shared" si="51"/>
        <v>2293.7422785599997</v>
      </c>
      <c r="AM385" s="398">
        <f t="shared" ref="AM385:BR385" si="52">SUM(AM382:AM384)</f>
        <v>4502.3887267499995</v>
      </c>
      <c r="AN385" s="398">
        <f t="shared" si="52"/>
        <v>2016.6545959999999</v>
      </c>
      <c r="AO385" s="398">
        <f t="shared" si="52"/>
        <v>3411.0631259999996</v>
      </c>
      <c r="AP385" s="398">
        <f t="shared" si="52"/>
        <v>4254.3666794999999</v>
      </c>
      <c r="AQ385" s="398">
        <f t="shared" si="52"/>
        <v>1661.8715899999997</v>
      </c>
      <c r="AR385" s="398">
        <f t="shared" si="52"/>
        <v>1127.8113109999999</v>
      </c>
      <c r="AS385" s="398">
        <f t="shared" si="52"/>
        <v>1556.1662760000002</v>
      </c>
      <c r="AT385" s="398">
        <f t="shared" si="52"/>
        <v>2404.232426</v>
      </c>
      <c r="AU385" s="398">
        <f t="shared" si="52"/>
        <v>1401.221317</v>
      </c>
      <c r="AV385" s="398">
        <f t="shared" si="52"/>
        <v>967.95279099999993</v>
      </c>
      <c r="AW385" s="398">
        <f t="shared" si="52"/>
        <v>605.69144199999994</v>
      </c>
      <c r="AX385" s="398">
        <f t="shared" si="52"/>
        <v>1150.6750960000002</v>
      </c>
      <c r="AY385" s="398">
        <f t="shared" si="52"/>
        <v>2830.0219422500004</v>
      </c>
      <c r="AZ385" s="398">
        <f t="shared" si="52"/>
        <v>1154.636632</v>
      </c>
      <c r="BA385" s="398">
        <f t="shared" si="52"/>
        <v>839.72529699999996</v>
      </c>
      <c r="BB385" s="398">
        <f t="shared" si="52"/>
        <v>5635.4521767400001</v>
      </c>
      <c r="BC385" s="398">
        <f t="shared" si="52"/>
        <v>11.25</v>
      </c>
      <c r="BD385" s="398">
        <f t="shared" si="52"/>
        <v>1165.0293059999999</v>
      </c>
      <c r="BE385" s="398">
        <f t="shared" si="52"/>
        <v>2710.5147350000002</v>
      </c>
      <c r="BF385" s="398">
        <f t="shared" si="52"/>
        <v>4367.593382</v>
      </c>
      <c r="BG385" s="398">
        <f t="shared" si="52"/>
        <v>3168.137025</v>
      </c>
      <c r="BH385" s="398">
        <f t="shared" si="52"/>
        <v>2919.5662990000001</v>
      </c>
      <c r="BI385" s="398">
        <f t="shared" si="52"/>
        <v>1362.14868</v>
      </c>
      <c r="BJ385" s="398">
        <f t="shared" si="52"/>
        <v>5530.2466069999991</v>
      </c>
      <c r="BK385" s="398">
        <f t="shared" si="52"/>
        <v>409.20151299999998</v>
      </c>
      <c r="BL385" s="398">
        <f t="shared" si="52"/>
        <v>2127.3108729999999</v>
      </c>
      <c r="BM385" s="398">
        <f t="shared" si="52"/>
        <v>1421.644984</v>
      </c>
      <c r="BN385" s="398">
        <f t="shared" si="52"/>
        <v>7667.3129609999996</v>
      </c>
      <c r="BO385" s="398">
        <f t="shared" si="52"/>
        <v>3342.83961658</v>
      </c>
      <c r="BP385" s="398">
        <f t="shared" si="52"/>
        <v>3447.3499552399999</v>
      </c>
      <c r="BQ385" s="398">
        <f t="shared" si="52"/>
        <v>1606.8982470000001</v>
      </c>
      <c r="BR385" s="398">
        <f t="shared" si="52"/>
        <v>1356.7310446200001</v>
      </c>
      <c r="BS385" s="398">
        <f t="shared" ref="BS385:CW385" si="53">SUM(BS382:BS384)</f>
        <v>950.73758299999997</v>
      </c>
      <c r="BT385" s="398">
        <f t="shared" si="53"/>
        <v>365.99358800000005</v>
      </c>
      <c r="BU385" s="398">
        <f t="shared" si="53"/>
        <v>2894.5377776200003</v>
      </c>
      <c r="BV385" s="398">
        <f t="shared" si="53"/>
        <v>1985.2958672300001</v>
      </c>
      <c r="BW385" s="398">
        <f t="shared" si="53"/>
        <v>638.84442300000001</v>
      </c>
      <c r="BX385" s="398">
        <f t="shared" si="53"/>
        <v>1798.3043640000001</v>
      </c>
      <c r="BY385" s="398">
        <f t="shared" si="53"/>
        <v>664.61133099999995</v>
      </c>
      <c r="BZ385" s="398">
        <f t="shared" si="53"/>
        <v>2120.4698579999999</v>
      </c>
      <c r="CA385" s="398">
        <f t="shared" si="53"/>
        <v>251.62536399999999</v>
      </c>
      <c r="CB385" s="398">
        <f t="shared" si="53"/>
        <v>749.49652700000001</v>
      </c>
      <c r="CC385" s="398">
        <f t="shared" si="53"/>
        <v>1193.4835640000001</v>
      </c>
      <c r="CD385" s="398">
        <f t="shared" si="53"/>
        <v>1518.5921619999999</v>
      </c>
      <c r="CE385" s="398">
        <f t="shared" si="53"/>
        <v>2044.7849131099999</v>
      </c>
      <c r="CF385" s="588">
        <f t="shared" si="53"/>
        <v>1396.78373489</v>
      </c>
      <c r="CG385" s="398">
        <f t="shared" si="53"/>
        <v>1496.7943029999999</v>
      </c>
      <c r="CH385" s="398">
        <f t="shared" si="53"/>
        <v>958.38698804000001</v>
      </c>
      <c r="CI385" s="398">
        <f t="shared" si="53"/>
        <v>2003.5027810000001</v>
      </c>
      <c r="CJ385" s="398">
        <f t="shared" si="53"/>
        <v>1646.244428</v>
      </c>
      <c r="CK385" s="398">
        <f t="shared" si="53"/>
        <v>1271.525889</v>
      </c>
      <c r="CL385" s="398">
        <f t="shared" si="53"/>
        <v>2298.5245420000001</v>
      </c>
      <c r="CM385" s="398">
        <f t="shared" si="53"/>
        <v>192.02335299999999</v>
      </c>
      <c r="CN385" s="398">
        <f t="shared" si="53"/>
        <v>2041.460965</v>
      </c>
      <c r="CO385" s="398">
        <f t="shared" si="53"/>
        <v>658.48936900000001</v>
      </c>
      <c r="CP385" s="398">
        <f t="shared" si="53"/>
        <v>2344.8891739999999</v>
      </c>
      <c r="CQ385" s="398">
        <f t="shared" si="53"/>
        <v>192.35630399999999</v>
      </c>
      <c r="CR385" s="398">
        <f t="shared" si="53"/>
        <v>3206.773424</v>
      </c>
      <c r="CS385" s="398">
        <f t="shared" si="53"/>
        <v>4318.4802149999996</v>
      </c>
      <c r="CT385" s="398">
        <f t="shared" si="53"/>
        <v>525.252972</v>
      </c>
      <c r="CU385" s="398">
        <f t="shared" si="53"/>
        <v>434.90724100000034</v>
      </c>
      <c r="CV385" s="398">
        <f t="shared" si="53"/>
        <v>2330.37291</v>
      </c>
      <c r="CW385" s="398">
        <f t="shared" si="53"/>
        <v>114.79060600000001</v>
      </c>
      <c r="CX385" s="398">
        <f t="shared" ref="CX385:DJ385" si="54">SUM(CX382:CX384)</f>
        <v>2036.5357489999999</v>
      </c>
      <c r="CY385" s="398">
        <f t="shared" si="54"/>
        <v>143.6492760000003</v>
      </c>
      <c r="CZ385" s="398">
        <f t="shared" si="54"/>
        <v>146.80693499999998</v>
      </c>
      <c r="DA385" s="398">
        <f t="shared" si="54"/>
        <v>1452.6870839999999</v>
      </c>
      <c r="DB385" s="398">
        <f t="shared" si="54"/>
        <v>164.27599600000002</v>
      </c>
      <c r="DC385" s="398">
        <f t="shared" si="54"/>
        <v>1451.0342589999998</v>
      </c>
      <c r="DD385" s="826">
        <f>SUM(DD382:DD384)</f>
        <v>879.82824900000003</v>
      </c>
      <c r="DE385" s="826">
        <f t="shared" si="54"/>
        <v>1241.8056779999997</v>
      </c>
      <c r="DF385" s="398">
        <f t="shared" si="54"/>
        <v>4667.6798804545942</v>
      </c>
      <c r="DG385" s="398">
        <f t="shared" si="54"/>
        <v>2029.5647194528965</v>
      </c>
      <c r="DH385" s="398">
        <f t="shared" si="54"/>
        <v>2468.7866884282889</v>
      </c>
      <c r="DI385" s="398">
        <f t="shared" si="54"/>
        <v>2657.3174905271349</v>
      </c>
      <c r="DJ385" s="464">
        <f t="shared" si="54"/>
        <v>9363.4842946566678</v>
      </c>
      <c r="DK385" s="464">
        <f t="shared" ref="DK385:DV385" si="55">SUM(DK382:DK384)</f>
        <v>5634.1877458885647</v>
      </c>
      <c r="DL385" s="464">
        <f t="shared" si="55"/>
        <v>3982.1345864868485</v>
      </c>
      <c r="DM385" s="464">
        <f t="shared" si="55"/>
        <v>8555.6183446989708</v>
      </c>
      <c r="DN385" s="464">
        <f t="shared" si="55"/>
        <v>6108.2320490800957</v>
      </c>
      <c r="DO385" s="464">
        <f t="shared" si="55"/>
        <v>5373.7423163890608</v>
      </c>
      <c r="DP385" s="464">
        <f t="shared" si="55"/>
        <v>3255.998767158359</v>
      </c>
      <c r="DQ385" s="464">
        <f t="shared" si="55"/>
        <v>3405.9148187139135</v>
      </c>
      <c r="DR385" s="464">
        <f t="shared" si="55"/>
        <v>2455.6252851249724</v>
      </c>
      <c r="DS385" s="464">
        <f t="shared" si="55"/>
        <v>2430.2407531132558</v>
      </c>
      <c r="DT385" s="464">
        <f t="shared" si="55"/>
        <v>3105.6436352994083</v>
      </c>
      <c r="DU385" s="464">
        <f t="shared" si="55"/>
        <v>4428.7303973088992</v>
      </c>
      <c r="DV385" s="464">
        <f t="shared" si="55"/>
        <v>1965.5968182103252</v>
      </c>
      <c r="DW385" s="468"/>
      <c r="DX385" s="47">
        <f>+DX384+DX383+DX382</f>
        <v>5688.1538586852839</v>
      </c>
      <c r="DY385" s="718"/>
      <c r="DZ385" s="63"/>
      <c r="EA385" s="188"/>
      <c r="EB385" s="238"/>
      <c r="EC385" s="238"/>
      <c r="EN385" s="32"/>
      <c r="ER385" s="496"/>
      <c r="EZ385" s="47"/>
    </row>
    <row r="386" spans="1:156" s="45" customFormat="1" ht="12.75" outlineLevel="1" thickBot="1" x14ac:dyDescent="0.25">
      <c r="E386" s="321" t="s">
        <v>213</v>
      </c>
      <c r="F386" s="322"/>
      <c r="G386" s="399">
        <f>+G385</f>
        <v>5936.4696560399998</v>
      </c>
      <c r="H386" s="399">
        <f t="shared" ref="H386:AM386" si="56">+G386+H385</f>
        <v>14009.907754000555</v>
      </c>
      <c r="I386" s="399">
        <f t="shared" si="56"/>
        <v>14009.907754000555</v>
      </c>
      <c r="J386" s="399">
        <f t="shared" si="56"/>
        <v>14009.907754000555</v>
      </c>
      <c r="K386" s="399">
        <f t="shared" si="56"/>
        <v>14009.907754000555</v>
      </c>
      <c r="L386" s="399">
        <f t="shared" si="56"/>
        <v>14009.907754000555</v>
      </c>
      <c r="M386" s="399">
        <f t="shared" si="56"/>
        <v>14009.907754000555</v>
      </c>
      <c r="N386" s="399">
        <f t="shared" si="56"/>
        <v>14009.907754000555</v>
      </c>
      <c r="O386" s="399">
        <f t="shared" si="56"/>
        <v>14009.907754000555</v>
      </c>
      <c r="P386" s="399">
        <f t="shared" si="56"/>
        <v>14009.907754000555</v>
      </c>
      <c r="Q386" s="399">
        <f t="shared" si="56"/>
        <v>14072.469754000555</v>
      </c>
      <c r="R386" s="399">
        <f t="shared" si="56"/>
        <v>14182.974769000555</v>
      </c>
      <c r="S386" s="399">
        <f t="shared" si="56"/>
        <v>14209.773278550556</v>
      </c>
      <c r="T386" s="399">
        <f t="shared" si="56"/>
        <v>14287.099011710556</v>
      </c>
      <c r="U386" s="399">
        <f t="shared" si="56"/>
        <v>14343.203805650555</v>
      </c>
      <c r="V386" s="399">
        <f t="shared" si="56"/>
        <v>14645.626296030556</v>
      </c>
      <c r="W386" s="399">
        <f t="shared" si="56"/>
        <v>14921.985237850557</v>
      </c>
      <c r="X386" s="399">
        <f t="shared" si="56"/>
        <v>20154.351090590557</v>
      </c>
      <c r="Y386" s="399">
        <f t="shared" si="56"/>
        <v>22413.072084590556</v>
      </c>
      <c r="Z386" s="399">
        <f t="shared" si="56"/>
        <v>22813.324741590557</v>
      </c>
      <c r="AA386" s="399">
        <f t="shared" si="56"/>
        <v>23966.513455590557</v>
      </c>
      <c r="AB386" s="399">
        <f t="shared" si="56"/>
        <v>25341.487688590558</v>
      </c>
      <c r="AC386" s="399">
        <f t="shared" si="56"/>
        <v>26890.501615590558</v>
      </c>
      <c r="AD386" s="399">
        <f t="shared" si="56"/>
        <v>27800.399741590558</v>
      </c>
      <c r="AE386" s="399">
        <f t="shared" si="56"/>
        <v>30517.649321790559</v>
      </c>
      <c r="AF386" s="399">
        <f t="shared" si="56"/>
        <v>31910.938169430559</v>
      </c>
      <c r="AG386" s="399">
        <f t="shared" si="56"/>
        <v>34974.589211450562</v>
      </c>
      <c r="AH386" s="399">
        <f t="shared" si="56"/>
        <v>37404.118728240559</v>
      </c>
      <c r="AI386" s="399">
        <f t="shared" si="56"/>
        <v>42479.963948920558</v>
      </c>
      <c r="AJ386" s="399">
        <f t="shared" si="56"/>
        <v>42793.392518920562</v>
      </c>
      <c r="AK386" s="399">
        <f t="shared" si="56"/>
        <v>49289.58815910056</v>
      </c>
      <c r="AL386" s="399">
        <f t="shared" si="56"/>
        <v>51583.330437660559</v>
      </c>
      <c r="AM386" s="399">
        <f t="shared" si="56"/>
        <v>56085.719164410562</v>
      </c>
      <c r="AN386" s="399">
        <f t="shared" ref="AN386:BS386" si="57">+AM386+AN385</f>
        <v>58102.373760410563</v>
      </c>
      <c r="AO386" s="399">
        <f t="shared" si="57"/>
        <v>61513.436886410564</v>
      </c>
      <c r="AP386" s="399">
        <f t="shared" si="57"/>
        <v>65767.803565910566</v>
      </c>
      <c r="AQ386" s="399">
        <f t="shared" si="57"/>
        <v>67429.675155910561</v>
      </c>
      <c r="AR386" s="399">
        <f t="shared" si="57"/>
        <v>68557.486466910559</v>
      </c>
      <c r="AS386" s="399">
        <f t="shared" si="57"/>
        <v>70113.652742910563</v>
      </c>
      <c r="AT386" s="399">
        <f t="shared" si="57"/>
        <v>72517.885168910565</v>
      </c>
      <c r="AU386" s="399">
        <f t="shared" si="57"/>
        <v>73919.106485910568</v>
      </c>
      <c r="AV386" s="399">
        <f t="shared" si="57"/>
        <v>74887.059276910571</v>
      </c>
      <c r="AW386" s="399">
        <f t="shared" si="57"/>
        <v>75492.750718910567</v>
      </c>
      <c r="AX386" s="399">
        <f t="shared" si="57"/>
        <v>76643.425814910574</v>
      </c>
      <c r="AY386" s="399">
        <f t="shared" si="57"/>
        <v>79473.447757160568</v>
      </c>
      <c r="AZ386" s="399">
        <f t="shared" si="57"/>
        <v>80628.084389160562</v>
      </c>
      <c r="BA386" s="399">
        <f t="shared" si="57"/>
        <v>81467.809686160559</v>
      </c>
      <c r="BB386" s="399">
        <f t="shared" si="57"/>
        <v>87103.261862900559</v>
      </c>
      <c r="BC386" s="399">
        <f t="shared" si="57"/>
        <v>87114.511862900559</v>
      </c>
      <c r="BD386" s="399">
        <f t="shared" si="57"/>
        <v>88279.541168900556</v>
      </c>
      <c r="BE386" s="399">
        <f t="shared" si="57"/>
        <v>90990.05590390056</v>
      </c>
      <c r="BF386" s="399">
        <f t="shared" si="57"/>
        <v>95357.649285900567</v>
      </c>
      <c r="BG386" s="399">
        <f t="shared" si="57"/>
        <v>98525.78631090057</v>
      </c>
      <c r="BH386" s="399">
        <f t="shared" si="57"/>
        <v>101445.35260990057</v>
      </c>
      <c r="BI386" s="399">
        <f t="shared" si="57"/>
        <v>102807.50128990057</v>
      </c>
      <c r="BJ386" s="399">
        <f t="shared" si="57"/>
        <v>108337.74789690056</v>
      </c>
      <c r="BK386" s="399">
        <f t="shared" si="57"/>
        <v>108746.94940990055</v>
      </c>
      <c r="BL386" s="399">
        <f t="shared" si="57"/>
        <v>110874.26028290055</v>
      </c>
      <c r="BM386" s="399">
        <f t="shared" si="57"/>
        <v>112295.90526690055</v>
      </c>
      <c r="BN386" s="399">
        <f t="shared" si="57"/>
        <v>119963.21822790055</v>
      </c>
      <c r="BO386" s="399">
        <f t="shared" si="57"/>
        <v>123306.05784448054</v>
      </c>
      <c r="BP386" s="399">
        <f t="shared" si="57"/>
        <v>126753.40779972055</v>
      </c>
      <c r="BQ386" s="399">
        <f t="shared" si="57"/>
        <v>128360.30604672055</v>
      </c>
      <c r="BR386" s="399">
        <f t="shared" si="57"/>
        <v>129717.03709134055</v>
      </c>
      <c r="BS386" s="399">
        <f t="shared" si="57"/>
        <v>130667.77467434054</v>
      </c>
      <c r="BT386" s="399">
        <f t="shared" ref="BT386:CY386" si="58">+BS386+BT385</f>
        <v>131033.76826234054</v>
      </c>
      <c r="BU386" s="399">
        <f t="shared" si="58"/>
        <v>133928.30603996053</v>
      </c>
      <c r="BV386" s="399">
        <f t="shared" si="58"/>
        <v>135913.60190719052</v>
      </c>
      <c r="BW386" s="399">
        <f t="shared" si="58"/>
        <v>136552.44633019052</v>
      </c>
      <c r="BX386" s="399">
        <f t="shared" si="58"/>
        <v>138350.75069419053</v>
      </c>
      <c r="BY386" s="399">
        <f t="shared" si="58"/>
        <v>139015.36202519052</v>
      </c>
      <c r="BZ386" s="399">
        <f t="shared" si="58"/>
        <v>141135.83188319052</v>
      </c>
      <c r="CA386" s="399">
        <f t="shared" si="58"/>
        <v>141387.45724719053</v>
      </c>
      <c r="CB386" s="399">
        <f t="shared" si="58"/>
        <v>142136.95377419054</v>
      </c>
      <c r="CC386" s="399">
        <f t="shared" si="58"/>
        <v>143330.43733819053</v>
      </c>
      <c r="CD386" s="399">
        <f t="shared" si="58"/>
        <v>144849.02950019052</v>
      </c>
      <c r="CE386" s="399">
        <f t="shared" si="58"/>
        <v>146893.81441330051</v>
      </c>
      <c r="CF386" s="399">
        <f t="shared" si="58"/>
        <v>148290.5981481905</v>
      </c>
      <c r="CG386" s="399">
        <f t="shared" si="58"/>
        <v>149787.39245119051</v>
      </c>
      <c r="CH386" s="399">
        <f t="shared" si="58"/>
        <v>150745.77943923051</v>
      </c>
      <c r="CI386" s="399">
        <f t="shared" si="58"/>
        <v>152749.2822202305</v>
      </c>
      <c r="CJ386" s="399">
        <f t="shared" si="58"/>
        <v>154395.5266482305</v>
      </c>
      <c r="CK386" s="399">
        <f t="shared" si="58"/>
        <v>155667.05253723051</v>
      </c>
      <c r="CL386" s="399">
        <f t="shared" si="58"/>
        <v>157965.57707923051</v>
      </c>
      <c r="CM386" s="399">
        <f t="shared" si="58"/>
        <v>158157.60043223051</v>
      </c>
      <c r="CN386" s="399">
        <f t="shared" si="58"/>
        <v>160199.06139723051</v>
      </c>
      <c r="CO386" s="399">
        <f t="shared" si="58"/>
        <v>160857.5507662305</v>
      </c>
      <c r="CP386" s="399">
        <f t="shared" si="58"/>
        <v>163202.43994023051</v>
      </c>
      <c r="CQ386" s="399">
        <f t="shared" si="58"/>
        <v>163394.7962442305</v>
      </c>
      <c r="CR386" s="399">
        <f t="shared" si="58"/>
        <v>166601.56966823051</v>
      </c>
      <c r="CS386" s="399">
        <f t="shared" si="58"/>
        <v>170920.0498832305</v>
      </c>
      <c r="CT386" s="399">
        <f t="shared" si="58"/>
        <v>171445.30285523049</v>
      </c>
      <c r="CU386" s="399">
        <f t="shared" si="58"/>
        <v>171880.2100962305</v>
      </c>
      <c r="CV386" s="399">
        <f t="shared" si="58"/>
        <v>174210.5830062305</v>
      </c>
      <c r="CW386" s="399">
        <f t="shared" si="58"/>
        <v>174325.3736122305</v>
      </c>
      <c r="CX386" s="399">
        <f t="shared" si="58"/>
        <v>176361.9093612305</v>
      </c>
      <c r="CY386" s="399">
        <f t="shared" si="58"/>
        <v>176505.55863723051</v>
      </c>
      <c r="CZ386" s="399">
        <f t="shared" ref="CZ386:DW386" si="59">+CY386+CZ385</f>
        <v>176652.36557223051</v>
      </c>
      <c r="DA386" s="399">
        <f t="shared" si="59"/>
        <v>178105.05265623052</v>
      </c>
      <c r="DB386" s="399">
        <f t="shared" si="59"/>
        <v>178269.32865223053</v>
      </c>
      <c r="DC386" s="399">
        <f t="shared" si="59"/>
        <v>179720.36291123054</v>
      </c>
      <c r="DD386" s="399">
        <f t="shared" si="59"/>
        <v>180600.19116023055</v>
      </c>
      <c r="DE386" s="399">
        <f t="shared" si="59"/>
        <v>181841.99683823055</v>
      </c>
      <c r="DF386" s="399">
        <f t="shared" si="59"/>
        <v>186509.67671868514</v>
      </c>
      <c r="DG386" s="399">
        <f t="shared" si="59"/>
        <v>188539.24143813804</v>
      </c>
      <c r="DH386" s="399">
        <f t="shared" si="59"/>
        <v>191008.02812656632</v>
      </c>
      <c r="DI386" s="399">
        <f t="shared" si="59"/>
        <v>193665.34561709347</v>
      </c>
      <c r="DJ386" s="465">
        <f t="shared" si="59"/>
        <v>203028.82991175013</v>
      </c>
      <c r="DK386" s="465">
        <f t="shared" si="59"/>
        <v>208663.0176576387</v>
      </c>
      <c r="DL386" s="465">
        <f t="shared" si="59"/>
        <v>212645.15224412555</v>
      </c>
      <c r="DM386" s="465">
        <f t="shared" si="59"/>
        <v>221200.77058882453</v>
      </c>
      <c r="DN386" s="465">
        <f t="shared" si="59"/>
        <v>227309.00263790463</v>
      </c>
      <c r="DO386" s="465">
        <f t="shared" si="59"/>
        <v>232682.74495429368</v>
      </c>
      <c r="DP386" s="465">
        <f t="shared" si="59"/>
        <v>235938.74372145205</v>
      </c>
      <c r="DQ386" s="465">
        <f t="shared" si="59"/>
        <v>239344.65854016595</v>
      </c>
      <c r="DR386" s="465">
        <f t="shared" si="59"/>
        <v>241800.28382529091</v>
      </c>
      <c r="DS386" s="465">
        <f t="shared" si="59"/>
        <v>244230.52457840418</v>
      </c>
      <c r="DT386" s="465">
        <f t="shared" si="59"/>
        <v>247336.16821370358</v>
      </c>
      <c r="DU386" s="465">
        <f t="shared" si="59"/>
        <v>251764.89861101247</v>
      </c>
      <c r="DV386" s="465">
        <f t="shared" si="59"/>
        <v>253730.49542922279</v>
      </c>
      <c r="DW386" s="469">
        <f t="shared" si="59"/>
        <v>253730.49542922279</v>
      </c>
      <c r="DX386" s="47">
        <f>+DW12-DW386</f>
        <v>5688.1538586852257</v>
      </c>
      <c r="DY386" s="719">
        <f>SUM(DY16:DY381)</f>
        <v>253730495429.22284</v>
      </c>
      <c r="DZ386" s="63">
        <f>+DY386/1000000</f>
        <v>253730.49542922285</v>
      </c>
      <c r="EA386" s="188">
        <f>+DW386-DZ386</f>
        <v>0</v>
      </c>
      <c r="EB386" s="238"/>
      <c r="EC386" s="238"/>
      <c r="EN386" s="513"/>
      <c r="EO386" s="47"/>
      <c r="ER386" s="496"/>
      <c r="EY386" s="47"/>
    </row>
    <row r="387" spans="1:156" s="32" customFormat="1" outlineLevel="1" x14ac:dyDescent="0.2">
      <c r="A387" s="318"/>
      <c r="E387" s="65"/>
      <c r="F387" s="65"/>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66"/>
      <c r="CS387" s="66"/>
      <c r="CT387" s="66"/>
      <c r="CU387" s="66"/>
      <c r="CV387" s="740"/>
      <c r="CW387" s="740"/>
      <c r="CX387" s="740"/>
      <c r="CY387" s="740"/>
      <c r="CZ387" s="740"/>
      <c r="DA387" s="740"/>
      <c r="DB387" s="66"/>
      <c r="DC387" s="66"/>
      <c r="DD387" s="66"/>
      <c r="DE387" s="66"/>
      <c r="DF387" s="66"/>
      <c r="DG387" s="66"/>
      <c r="DH387" s="66"/>
      <c r="DI387" s="66"/>
      <c r="DJ387" s="66"/>
      <c r="DK387" s="66"/>
      <c r="DL387" s="66"/>
      <c r="DM387" s="66"/>
      <c r="DN387" s="66"/>
      <c r="DO387" s="66"/>
      <c r="DP387" s="66"/>
      <c r="DQ387" s="66"/>
      <c r="DR387" s="66"/>
      <c r="DS387" s="66"/>
      <c r="DT387" s="66"/>
      <c r="DU387" s="66"/>
      <c r="DV387" s="66"/>
      <c r="DW387" s="62"/>
      <c r="DX387" s="67"/>
      <c r="DY387" s="382"/>
      <c r="DZ387" s="577"/>
      <c r="EA387" s="703"/>
      <c r="EB387" s="238"/>
      <c r="EC387" s="238"/>
      <c r="EO387" s="64"/>
      <c r="ER387" s="486"/>
    </row>
    <row r="388" spans="1:156" s="32" customFormat="1" hidden="1" outlineLevel="1" x14ac:dyDescent="0.2">
      <c r="A388" s="318"/>
      <c r="E388" s="65"/>
      <c r="F388" s="65"/>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740"/>
      <c r="CW388" s="740"/>
      <c r="CX388" s="740"/>
      <c r="CY388" s="740"/>
      <c r="CZ388" s="740"/>
      <c r="DA388" s="740"/>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2"/>
      <c r="DX388" s="61"/>
      <c r="DY388" s="580"/>
      <c r="DZ388" s="577"/>
      <c r="EA388" s="577"/>
      <c r="EB388" s="238"/>
      <c r="EC388" s="238"/>
      <c r="EO388" s="64"/>
      <c r="ER388" s="486"/>
    </row>
    <row r="389" spans="1:156" s="32" customFormat="1" hidden="1" outlineLevel="1" x14ac:dyDescent="0.2">
      <c r="A389" s="318"/>
      <c r="E389" s="65"/>
      <c r="F389" s="65"/>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740"/>
      <c r="CW389" s="740"/>
      <c r="CX389" s="740"/>
      <c r="CY389" s="740"/>
      <c r="CZ389" s="740"/>
      <c r="DA389" s="740"/>
      <c r="DB389" s="66"/>
      <c r="DC389" s="66"/>
      <c r="DD389" s="66"/>
      <c r="DE389" s="66"/>
      <c r="DF389" s="66"/>
      <c r="DG389" s="66"/>
      <c r="DH389" s="66"/>
      <c r="DI389" s="66"/>
      <c r="DJ389" s="66"/>
      <c r="DK389" s="66"/>
      <c r="DL389" s="66"/>
      <c r="DM389" s="66"/>
      <c r="DN389" s="66"/>
      <c r="DO389" s="66"/>
      <c r="DP389" s="66"/>
      <c r="DQ389" s="66"/>
      <c r="DR389" s="66"/>
      <c r="DS389" s="66"/>
      <c r="DT389" s="66"/>
      <c r="DU389" s="66"/>
      <c r="DV389" s="66"/>
      <c r="DX389" s="67"/>
      <c r="DY389" s="382"/>
      <c r="DZ389" s="577"/>
      <c r="EA389" s="577"/>
      <c r="EB389" s="238"/>
      <c r="EC389" s="238"/>
      <c r="EK389" s="62"/>
      <c r="EO389" s="64"/>
      <c r="ER389" s="486"/>
    </row>
    <row r="390" spans="1:156" s="32" customFormat="1" hidden="1" outlineLevel="1" x14ac:dyDescent="0.2">
      <c r="A390" s="318"/>
      <c r="E390" s="65"/>
      <c r="F390" s="65"/>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66"/>
      <c r="CS390" s="66"/>
      <c r="CT390" s="66"/>
      <c r="CU390" s="66"/>
      <c r="CV390" s="740"/>
      <c r="CW390" s="740"/>
      <c r="CX390" s="740"/>
      <c r="CY390" s="740"/>
      <c r="CZ390" s="740"/>
      <c r="DA390" s="740"/>
      <c r="DB390" s="66"/>
      <c r="DC390" s="66"/>
      <c r="DD390" s="66"/>
      <c r="DE390" s="66"/>
      <c r="DF390" s="66"/>
      <c r="DG390" s="66"/>
      <c r="DH390" s="66"/>
      <c r="DI390" s="66"/>
      <c r="DJ390" s="66"/>
      <c r="DK390" s="66"/>
      <c r="DL390" s="66"/>
      <c r="DM390" s="66"/>
      <c r="DN390" s="66"/>
      <c r="DO390" s="66"/>
      <c r="DP390" s="66"/>
      <c r="DQ390" s="66"/>
      <c r="DR390" s="66"/>
      <c r="DS390" s="66"/>
      <c r="DT390" s="66"/>
      <c r="DU390" s="66"/>
      <c r="DV390" s="66"/>
      <c r="DX390" s="67"/>
      <c r="DY390" s="581"/>
      <c r="DZ390" s="577"/>
      <c r="EA390" s="577"/>
      <c r="EB390" s="238"/>
      <c r="EC390" s="238"/>
      <c r="EK390" s="62"/>
      <c r="EO390" s="64"/>
      <c r="ER390" s="486"/>
    </row>
    <row r="391" spans="1:156" s="32" customFormat="1" hidden="1" outlineLevel="1" x14ac:dyDescent="0.2">
      <c r="E391" s="65"/>
      <c r="F391" s="65"/>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66"/>
      <c r="CS391" s="66"/>
      <c r="CT391" s="66"/>
      <c r="CU391" s="66"/>
      <c r="CV391" s="740"/>
      <c r="CW391" s="740"/>
      <c r="CX391" s="740"/>
      <c r="CY391" s="740"/>
      <c r="CZ391" s="740"/>
      <c r="DA391" s="740"/>
      <c r="DB391" s="66"/>
      <c r="DC391" s="66"/>
      <c r="DD391" s="66"/>
      <c r="DE391" s="66"/>
      <c r="DF391" s="66"/>
      <c r="DG391" s="66"/>
      <c r="DH391" s="66"/>
      <c r="DI391" s="66"/>
      <c r="DJ391" s="66"/>
      <c r="DK391" s="66"/>
      <c r="DL391" s="66"/>
      <c r="DM391" s="66"/>
      <c r="DN391" s="66"/>
      <c r="DO391" s="66"/>
      <c r="DP391" s="66"/>
      <c r="DQ391" s="66"/>
      <c r="DR391" s="66"/>
      <c r="DS391" s="66"/>
      <c r="DT391" s="66"/>
      <c r="DU391" s="66"/>
      <c r="DV391" s="66"/>
      <c r="DX391" s="576"/>
      <c r="DY391" s="62"/>
      <c r="DZ391" s="188"/>
      <c r="EA391" s="238"/>
      <c r="EB391" s="238"/>
      <c r="EC391" s="238"/>
      <c r="EK391" s="632"/>
      <c r="EN391" s="64"/>
      <c r="ER391" s="486"/>
    </row>
    <row r="392" spans="1:156" s="32" customFormat="1" hidden="1" outlineLevel="1" x14ac:dyDescent="0.2">
      <c r="E392" s="65"/>
      <c r="F392" s="65"/>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421"/>
      <c r="BG392" s="66"/>
      <c r="BH392" s="66"/>
      <c r="BI392" s="66"/>
      <c r="BJ392" s="66"/>
      <c r="BK392" s="66"/>
      <c r="BL392" s="66"/>
      <c r="BM392" s="66"/>
      <c r="BN392" s="422"/>
      <c r="BO392" s="422"/>
      <c r="BP392" s="422"/>
      <c r="BQ392" s="66"/>
      <c r="BR392" s="66"/>
      <c r="BS392" s="66"/>
      <c r="BT392" s="66"/>
      <c r="BU392" s="66"/>
      <c r="BV392" s="66"/>
      <c r="BW392" s="66"/>
      <c r="BX392" s="66"/>
      <c r="BY392" s="66"/>
      <c r="BZ392" s="422"/>
      <c r="CA392" s="422"/>
      <c r="CB392" s="66"/>
      <c r="CC392" s="66"/>
      <c r="CD392" s="66"/>
      <c r="CE392" s="66"/>
      <c r="CF392" s="66"/>
      <c r="CG392" s="66"/>
      <c r="CH392" s="66"/>
      <c r="CI392" s="66"/>
      <c r="CJ392" s="66"/>
      <c r="CK392" s="66"/>
      <c r="CL392" s="66"/>
      <c r="CM392" s="66"/>
      <c r="CN392" s="66"/>
      <c r="CO392" s="66"/>
      <c r="CP392" s="66"/>
      <c r="CQ392" s="66"/>
      <c r="CR392" s="66"/>
      <c r="CS392" s="66"/>
      <c r="CT392" s="66"/>
      <c r="CU392" s="66"/>
      <c r="CV392" s="740"/>
      <c r="CW392" s="740"/>
      <c r="CX392" s="740"/>
      <c r="CY392" s="740"/>
      <c r="CZ392" s="740"/>
      <c r="DA392" s="740"/>
      <c r="DB392" s="66"/>
      <c r="DC392" s="66"/>
      <c r="DD392" s="66"/>
      <c r="DE392" s="66"/>
      <c r="DF392" s="66"/>
      <c r="DG392" s="66"/>
      <c r="DH392" s="66"/>
      <c r="DI392" s="66"/>
      <c r="DJ392" s="66"/>
      <c r="DK392" s="66"/>
      <c r="DL392" s="66"/>
      <c r="DM392" s="66"/>
      <c r="DN392" s="66"/>
      <c r="DO392" s="66"/>
      <c r="DP392" s="66"/>
      <c r="DQ392" s="66"/>
      <c r="DR392" s="66"/>
      <c r="DS392" s="66"/>
      <c r="DT392" s="66"/>
      <c r="DU392" s="66"/>
      <c r="DV392" s="66"/>
      <c r="DX392" s="62"/>
      <c r="DY392" s="62"/>
      <c r="DZ392" s="577"/>
      <c r="EA392" s="577"/>
      <c r="EB392" s="238"/>
      <c r="EC392" s="238"/>
      <c r="EK392" s="494"/>
      <c r="EO392" s="64"/>
      <c r="ER392" s="486"/>
    </row>
    <row r="393" spans="1:156" s="32" customFormat="1" hidden="1" outlineLevel="1" x14ac:dyDescent="0.2">
      <c r="E393" s="65"/>
      <c r="F393" s="65"/>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421"/>
      <c r="BG393" s="66"/>
      <c r="BH393" s="66"/>
      <c r="BI393" s="66"/>
      <c r="BJ393" s="66"/>
      <c r="BK393" s="66"/>
      <c r="BL393" s="66"/>
      <c r="BM393" s="66"/>
      <c r="BN393" s="422"/>
      <c r="BO393" s="422"/>
      <c r="BP393" s="422"/>
      <c r="BQ393" s="66"/>
      <c r="BR393" s="66"/>
      <c r="BS393" s="66"/>
      <c r="BT393" s="66"/>
      <c r="BU393" s="66"/>
      <c r="BV393" s="66"/>
      <c r="BW393" s="66"/>
      <c r="BX393" s="66"/>
      <c r="BY393" s="66"/>
      <c r="BZ393" s="422"/>
      <c r="CA393" s="422"/>
      <c r="CB393" s="66"/>
      <c r="CC393" s="66"/>
      <c r="CD393" s="66"/>
      <c r="CE393" s="66"/>
      <c r="CF393" s="66"/>
      <c r="CG393" s="66"/>
      <c r="CH393" s="66"/>
      <c r="CI393" s="66"/>
      <c r="CJ393" s="66"/>
      <c r="CK393" s="66"/>
      <c r="CL393" s="66"/>
      <c r="CM393" s="66"/>
      <c r="CN393" s="66"/>
      <c r="CO393" s="66"/>
      <c r="CP393" s="66"/>
      <c r="CQ393" s="66"/>
      <c r="CR393" s="66"/>
      <c r="CS393" s="66"/>
      <c r="CT393" s="66"/>
      <c r="CU393" s="66"/>
      <c r="CV393" s="740"/>
      <c r="CW393" s="740"/>
      <c r="CX393" s="740"/>
      <c r="CY393" s="740"/>
      <c r="CZ393" s="740"/>
      <c r="DA393" s="740"/>
      <c r="DB393" s="66"/>
      <c r="DC393" s="66"/>
      <c r="DD393" s="66"/>
      <c r="DE393" s="66"/>
      <c r="DF393" s="66"/>
      <c r="DG393" s="66"/>
      <c r="DH393" s="66"/>
      <c r="DI393" s="66"/>
      <c r="DJ393" s="66"/>
      <c r="DK393" s="66"/>
      <c r="DL393" s="66"/>
      <c r="DM393" s="66"/>
      <c r="DN393" s="66"/>
      <c r="DO393" s="66"/>
      <c r="DP393" s="66"/>
      <c r="DQ393" s="66"/>
      <c r="DR393" s="66"/>
      <c r="DS393" s="66"/>
      <c r="DT393" s="66"/>
      <c r="DU393" s="66"/>
      <c r="DV393" s="66"/>
      <c r="DX393" s="62"/>
      <c r="DY393" s="62"/>
      <c r="DZ393" s="52"/>
      <c r="EA393" s="238"/>
      <c r="EB393" s="238"/>
      <c r="EC393" s="238"/>
      <c r="EK393" s="494"/>
      <c r="EO393" s="64"/>
      <c r="ER393" s="486"/>
    </row>
    <row r="394" spans="1:156" s="32" customFormat="1" ht="12.75" hidden="1" outlineLevel="1" x14ac:dyDescent="0.2">
      <c r="E394" s="65"/>
      <c r="F394" s="65"/>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421"/>
      <c r="BG394" s="66"/>
      <c r="BH394" s="66"/>
      <c r="BI394" s="66"/>
      <c r="BJ394" s="66"/>
      <c r="BK394" s="66"/>
      <c r="BL394" s="66"/>
      <c r="BM394" s="66"/>
      <c r="BN394" s="422"/>
      <c r="BO394" s="422"/>
      <c r="BP394" s="422"/>
      <c r="BQ394" s="66"/>
      <c r="BR394" s="66"/>
      <c r="BS394" s="66"/>
      <c r="BT394" s="66"/>
      <c r="BU394" s="66"/>
      <c r="BV394" s="66"/>
      <c r="BW394" s="66"/>
      <c r="BX394" s="66"/>
      <c r="BY394" s="66"/>
      <c r="BZ394" s="422"/>
      <c r="CA394" s="422"/>
      <c r="CB394" s="66"/>
      <c r="CC394" s="66"/>
      <c r="CD394" s="66"/>
      <c r="CE394" s="66"/>
      <c r="CF394" s="66"/>
      <c r="CG394" s="66"/>
      <c r="CH394" s="66"/>
      <c r="CI394" s="66"/>
      <c r="CJ394" s="66"/>
      <c r="CK394" s="66"/>
      <c r="CL394" s="66"/>
      <c r="CM394" s="66"/>
      <c r="CN394" s="66"/>
      <c r="CO394" s="66"/>
      <c r="CP394" s="66"/>
      <c r="CQ394" s="66"/>
      <c r="CR394" s="66"/>
      <c r="CS394" s="66"/>
      <c r="CT394" s="66"/>
      <c r="CU394" s="66"/>
      <c r="CV394" s="740"/>
      <c r="CW394" s="740"/>
      <c r="CX394" s="740"/>
      <c r="CY394" s="740"/>
      <c r="CZ394" s="740"/>
      <c r="DA394" s="740"/>
      <c r="DB394" s="66"/>
      <c r="DC394" s="66"/>
      <c r="DD394" s="66"/>
      <c r="DE394" s="66"/>
      <c r="DF394" s="66"/>
      <c r="DG394" s="66"/>
      <c r="DH394" s="66"/>
      <c r="DI394" s="66"/>
      <c r="DJ394" s="66"/>
      <c r="DK394" s="66"/>
      <c r="DL394" s="66"/>
      <c r="DM394" s="66"/>
      <c r="DN394" s="66"/>
      <c r="DO394" s="66"/>
      <c r="DP394" s="66"/>
      <c r="DQ394" s="66"/>
      <c r="DR394" s="66"/>
      <c r="DS394" s="66"/>
      <c r="DT394" s="66"/>
      <c r="DU394" s="66"/>
      <c r="DV394" s="66"/>
      <c r="DX394" s="578"/>
      <c r="DY394" s="62"/>
      <c r="DZ394" s="579"/>
      <c r="EA394" s="238"/>
      <c r="EB394" s="238"/>
      <c r="EC394" s="238"/>
      <c r="EK394" s="631"/>
      <c r="EO394" s="64"/>
      <c r="ER394" s="486"/>
    </row>
    <row r="395" spans="1:156" s="32" customFormat="1" hidden="1" outlineLevel="1" x14ac:dyDescent="0.2">
      <c r="E395" s="65"/>
      <c r="F395" s="65"/>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421"/>
      <c r="BG395" s="66"/>
      <c r="BH395" s="66"/>
      <c r="BI395" s="66"/>
      <c r="BJ395" s="66"/>
      <c r="BK395" s="66"/>
      <c r="BL395" s="66"/>
      <c r="BM395" s="66"/>
      <c r="BN395" s="422"/>
      <c r="BO395" s="422"/>
      <c r="BP395" s="422"/>
      <c r="BQ395" s="66"/>
      <c r="BR395" s="66"/>
      <c r="BS395" s="66"/>
      <c r="BT395" s="66"/>
      <c r="BU395" s="66"/>
      <c r="BV395" s="66"/>
      <c r="BW395" s="66"/>
      <c r="BX395" s="66"/>
      <c r="BY395" s="66"/>
      <c r="BZ395" s="422"/>
      <c r="CA395" s="422"/>
      <c r="CB395" s="66"/>
      <c r="CC395" s="66"/>
      <c r="CD395" s="66"/>
      <c r="CE395" s="66"/>
      <c r="CF395" s="66"/>
      <c r="CG395" s="66"/>
      <c r="CH395" s="66"/>
      <c r="CI395" s="66"/>
      <c r="CJ395" s="66"/>
      <c r="CK395" s="66"/>
      <c r="CL395" s="66"/>
      <c r="CM395" s="66"/>
      <c r="CN395" s="66"/>
      <c r="CO395" s="66"/>
      <c r="CP395" s="66"/>
      <c r="CQ395" s="66"/>
      <c r="CR395" s="66"/>
      <c r="CS395" s="66"/>
      <c r="CT395" s="66"/>
      <c r="CU395" s="66"/>
      <c r="CV395" s="740"/>
      <c r="CW395" s="740"/>
      <c r="CX395" s="740"/>
      <c r="CY395" s="740"/>
      <c r="CZ395" s="740"/>
      <c r="DA395" s="740"/>
      <c r="DB395" s="66"/>
      <c r="DC395" s="66"/>
      <c r="DD395" s="66"/>
      <c r="DE395" s="66"/>
      <c r="DF395" s="66"/>
      <c r="DG395" s="66"/>
      <c r="DH395" s="66"/>
      <c r="DI395" s="66"/>
      <c r="DJ395" s="66"/>
      <c r="DK395" s="66"/>
      <c r="DL395" s="66"/>
      <c r="DM395" s="66"/>
      <c r="DN395" s="66"/>
      <c r="DO395" s="66"/>
      <c r="DP395" s="66"/>
      <c r="DQ395" s="66"/>
      <c r="DR395" s="66"/>
      <c r="DS395" s="66"/>
      <c r="DT395" s="66"/>
      <c r="DU395" s="66"/>
      <c r="DV395" s="66"/>
      <c r="DW395" s="494"/>
      <c r="DX395" s="62"/>
      <c r="DY395" s="62"/>
      <c r="DZ395" s="52"/>
      <c r="EA395" s="238"/>
      <c r="EB395" s="238"/>
      <c r="EC395" s="238"/>
      <c r="EO395" s="64"/>
      <c r="ER395" s="486"/>
    </row>
    <row r="396" spans="1:156" s="32" customFormat="1" outlineLevel="1" x14ac:dyDescent="0.2">
      <c r="E396" s="65"/>
      <c r="F396" s="65"/>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421"/>
      <c r="BG396" s="66"/>
      <c r="BH396" s="66"/>
      <c r="BI396" s="66"/>
      <c r="BJ396" s="66"/>
      <c r="BK396" s="66"/>
      <c r="BL396" s="66"/>
      <c r="BM396" s="66"/>
      <c r="BN396" s="422"/>
      <c r="BO396" s="422"/>
      <c r="BP396" s="422"/>
      <c r="BQ396" s="66"/>
      <c r="BR396" s="66"/>
      <c r="BS396" s="66"/>
      <c r="BT396" s="66"/>
      <c r="BU396" s="66"/>
      <c r="BV396" s="66"/>
      <c r="BW396" s="66"/>
      <c r="BX396" s="66"/>
      <c r="BY396" s="66"/>
      <c r="BZ396" s="422"/>
      <c r="CA396" s="422"/>
      <c r="CB396" s="66"/>
      <c r="CC396" s="66"/>
      <c r="CD396" s="66"/>
      <c r="CE396" s="66"/>
      <c r="CF396" s="66"/>
      <c r="CG396" s="66"/>
      <c r="CH396" s="66"/>
      <c r="CI396" s="66"/>
      <c r="CJ396" s="66"/>
      <c r="CK396" s="66"/>
      <c r="CL396" s="66"/>
      <c r="CM396" s="66"/>
      <c r="CN396" s="66"/>
      <c r="CO396" s="66"/>
      <c r="CP396" s="66"/>
      <c r="CQ396" s="66"/>
      <c r="CR396" s="66"/>
      <c r="CS396" s="66"/>
      <c r="CT396" s="66"/>
      <c r="CU396" s="66"/>
      <c r="CV396" s="740"/>
      <c r="CW396" s="740"/>
      <c r="CX396" s="740"/>
      <c r="CY396" s="740"/>
      <c r="CZ396" s="747"/>
      <c r="DA396" s="740"/>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494"/>
      <c r="DX396" s="62"/>
      <c r="DY396" s="62"/>
      <c r="DZ396" s="52"/>
      <c r="EA396" s="238"/>
      <c r="EB396" s="238"/>
      <c r="EC396" s="238"/>
      <c r="EO396" s="64"/>
      <c r="ER396" s="486"/>
    </row>
    <row r="397" spans="1:156" s="32" customFormat="1" outlineLevel="1" x14ac:dyDescent="0.2">
      <c r="E397" s="65"/>
      <c r="F397" s="65"/>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422"/>
      <c r="BG397" s="66"/>
      <c r="BH397" s="66"/>
      <c r="BI397" s="66"/>
      <c r="BJ397" s="66"/>
      <c r="BK397" s="66"/>
      <c r="BL397" s="66"/>
      <c r="BM397" s="66"/>
      <c r="BN397" s="66"/>
      <c r="BO397" s="66"/>
      <c r="BP397" s="493"/>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740"/>
      <c r="CW397" s="740"/>
      <c r="CX397" s="740"/>
      <c r="CY397" s="740"/>
      <c r="CZ397" s="748"/>
      <c r="DA397" s="747"/>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510"/>
      <c r="DX397" s="51"/>
      <c r="DY397" s="62"/>
      <c r="DZ397" s="52"/>
      <c r="EA397" s="238"/>
      <c r="EB397" s="238"/>
      <c r="EC397" s="238"/>
      <c r="ER397" s="486"/>
    </row>
    <row r="398" spans="1:156" ht="12.75" x14ac:dyDescent="0.2">
      <c r="G398" s="68"/>
      <c r="Q398" s="66"/>
      <c r="R398" s="66"/>
      <c r="S398" s="66"/>
      <c r="AE398" s="66"/>
      <c r="AF398" s="66"/>
      <c r="AG398" s="66"/>
      <c r="AH398" s="66"/>
      <c r="AI398" s="66"/>
      <c r="AJ398" s="66"/>
      <c r="AK398" s="66"/>
      <c r="AL398" s="66"/>
      <c r="AM398" s="66"/>
      <c r="AN398" s="66"/>
      <c r="AO398" s="66"/>
      <c r="AQ398" s="71"/>
      <c r="DA398" s="747"/>
      <c r="DB398" s="747"/>
      <c r="DC398" s="66"/>
      <c r="DD398" s="66"/>
      <c r="DW398" s="319"/>
      <c r="DX398" s="231"/>
      <c r="DY398" s="231"/>
      <c r="DZ398" s="696"/>
      <c r="EA398" s="244"/>
    </row>
    <row r="399" spans="1:156" x14ac:dyDescent="0.2">
      <c r="G399" s="72">
        <f>YEAR(G400)</f>
        <v>2010</v>
      </c>
      <c r="H399" s="72">
        <f t="shared" ref="H399:BS399" si="60">YEAR(H400)</f>
        <v>2010</v>
      </c>
      <c r="I399" s="72">
        <f t="shared" si="60"/>
        <v>2010</v>
      </c>
      <c r="J399" s="72">
        <f t="shared" si="60"/>
        <v>2010</v>
      </c>
      <c r="K399" s="72">
        <f t="shared" si="60"/>
        <v>2010</v>
      </c>
      <c r="L399" s="72">
        <f t="shared" si="60"/>
        <v>2010</v>
      </c>
      <c r="M399" s="72">
        <f t="shared" si="60"/>
        <v>2010</v>
      </c>
      <c r="N399" s="72">
        <f t="shared" si="60"/>
        <v>2010</v>
      </c>
      <c r="O399" s="72">
        <f t="shared" si="60"/>
        <v>2010</v>
      </c>
      <c r="P399" s="72">
        <f t="shared" si="60"/>
        <v>2010</v>
      </c>
      <c r="Q399" s="72">
        <f t="shared" si="60"/>
        <v>2010</v>
      </c>
      <c r="R399" s="72">
        <f t="shared" si="60"/>
        <v>2010</v>
      </c>
      <c r="S399" s="72">
        <f t="shared" si="60"/>
        <v>2011</v>
      </c>
      <c r="T399" s="72">
        <f t="shared" si="60"/>
        <v>2011</v>
      </c>
      <c r="U399" s="72">
        <f t="shared" si="60"/>
        <v>2011</v>
      </c>
      <c r="V399" s="72">
        <f t="shared" si="60"/>
        <v>2011</v>
      </c>
      <c r="W399" s="72">
        <f t="shared" si="60"/>
        <v>2011</v>
      </c>
      <c r="X399" s="72">
        <f t="shared" si="60"/>
        <v>2011</v>
      </c>
      <c r="Y399" s="72">
        <f t="shared" si="60"/>
        <v>2011</v>
      </c>
      <c r="Z399" s="72">
        <f t="shared" si="60"/>
        <v>2011</v>
      </c>
      <c r="AA399" s="72">
        <f t="shared" si="60"/>
        <v>2011</v>
      </c>
      <c r="AB399" s="72">
        <f t="shared" si="60"/>
        <v>2011</v>
      </c>
      <c r="AC399" s="72">
        <f t="shared" si="60"/>
        <v>2011</v>
      </c>
      <c r="AD399" s="72">
        <f t="shared" si="60"/>
        <v>2011</v>
      </c>
      <c r="AE399" s="72">
        <f t="shared" si="60"/>
        <v>2012</v>
      </c>
      <c r="AF399" s="72">
        <f t="shared" si="60"/>
        <v>2012</v>
      </c>
      <c r="AG399" s="72">
        <f t="shared" si="60"/>
        <v>2012</v>
      </c>
      <c r="AH399" s="72">
        <f t="shared" si="60"/>
        <v>2012</v>
      </c>
      <c r="AI399" s="72">
        <f t="shared" si="60"/>
        <v>2012</v>
      </c>
      <c r="AJ399" s="72">
        <f t="shared" si="60"/>
        <v>2012</v>
      </c>
      <c r="AK399" s="72">
        <f t="shared" si="60"/>
        <v>2012</v>
      </c>
      <c r="AL399" s="72">
        <f t="shared" si="60"/>
        <v>2012</v>
      </c>
      <c r="AM399" s="72">
        <f t="shared" si="60"/>
        <v>2012</v>
      </c>
      <c r="AN399" s="72">
        <f t="shared" si="60"/>
        <v>2012</v>
      </c>
      <c r="AO399" s="72">
        <f t="shared" si="60"/>
        <v>2012</v>
      </c>
      <c r="AP399" s="72">
        <f t="shared" si="60"/>
        <v>2012</v>
      </c>
      <c r="AQ399" s="72">
        <f t="shared" si="60"/>
        <v>2013</v>
      </c>
      <c r="AR399" s="72">
        <f t="shared" si="60"/>
        <v>2013</v>
      </c>
      <c r="AS399" s="72">
        <f t="shared" si="60"/>
        <v>2013</v>
      </c>
      <c r="AT399" s="72">
        <f t="shared" si="60"/>
        <v>2013</v>
      </c>
      <c r="AU399" s="72">
        <f t="shared" si="60"/>
        <v>2013</v>
      </c>
      <c r="AV399" s="72">
        <f t="shared" si="60"/>
        <v>2013</v>
      </c>
      <c r="AW399" s="72">
        <f t="shared" si="60"/>
        <v>2013</v>
      </c>
      <c r="AX399" s="72">
        <f t="shared" si="60"/>
        <v>2013</v>
      </c>
      <c r="AY399" s="72">
        <f t="shared" si="60"/>
        <v>2013</v>
      </c>
      <c r="AZ399" s="72">
        <f t="shared" si="60"/>
        <v>2013</v>
      </c>
      <c r="BA399" s="72">
        <f t="shared" si="60"/>
        <v>2013</v>
      </c>
      <c r="BB399" s="72">
        <f t="shared" si="60"/>
        <v>2013</v>
      </c>
      <c r="BC399" s="72">
        <f t="shared" si="60"/>
        <v>2014</v>
      </c>
      <c r="BD399" s="72">
        <f t="shared" si="60"/>
        <v>2014</v>
      </c>
      <c r="BE399" s="72">
        <f t="shared" si="60"/>
        <v>2014</v>
      </c>
      <c r="BF399" s="72">
        <f t="shared" si="60"/>
        <v>2014</v>
      </c>
      <c r="BG399" s="72">
        <f t="shared" si="60"/>
        <v>2014</v>
      </c>
      <c r="BH399" s="72">
        <f t="shared" si="60"/>
        <v>2014</v>
      </c>
      <c r="BI399" s="72">
        <f t="shared" si="60"/>
        <v>2014</v>
      </c>
      <c r="BJ399" s="72">
        <f t="shared" si="60"/>
        <v>2014</v>
      </c>
      <c r="BK399" s="72">
        <f t="shared" si="60"/>
        <v>2014</v>
      </c>
      <c r="BL399" s="72">
        <f t="shared" si="60"/>
        <v>2014</v>
      </c>
      <c r="BM399" s="72">
        <f t="shared" si="60"/>
        <v>2014</v>
      </c>
      <c r="BN399" s="72">
        <f t="shared" si="60"/>
        <v>2014</v>
      </c>
      <c r="BO399" s="72">
        <f t="shared" si="60"/>
        <v>2015</v>
      </c>
      <c r="BP399" s="72">
        <f t="shared" si="60"/>
        <v>2015</v>
      </c>
      <c r="BQ399" s="72">
        <f t="shared" si="60"/>
        <v>2015</v>
      </c>
      <c r="BR399" s="72">
        <f t="shared" si="60"/>
        <v>2015</v>
      </c>
      <c r="BS399" s="72">
        <f t="shared" si="60"/>
        <v>2015</v>
      </c>
      <c r="BT399" s="72">
        <f t="shared" ref="BT399:DV399" si="61">YEAR(BT400)</f>
        <v>2015</v>
      </c>
      <c r="BU399" s="72">
        <f t="shared" si="61"/>
        <v>2015</v>
      </c>
      <c r="BV399" s="72">
        <f t="shared" si="61"/>
        <v>2015</v>
      </c>
      <c r="BW399" s="72">
        <f t="shared" si="61"/>
        <v>2015</v>
      </c>
      <c r="BX399" s="72">
        <f t="shared" si="61"/>
        <v>2015</v>
      </c>
      <c r="BY399" s="72">
        <f t="shared" si="61"/>
        <v>2015</v>
      </c>
      <c r="BZ399" s="72">
        <f t="shared" si="61"/>
        <v>2015</v>
      </c>
      <c r="CA399" s="72">
        <f t="shared" si="61"/>
        <v>2016</v>
      </c>
      <c r="CB399" s="72">
        <f t="shared" si="61"/>
        <v>2016</v>
      </c>
      <c r="CC399" s="72">
        <f t="shared" si="61"/>
        <v>2016</v>
      </c>
      <c r="CD399" s="72">
        <f t="shared" si="61"/>
        <v>2016</v>
      </c>
      <c r="CE399" s="72">
        <f t="shared" si="61"/>
        <v>2016</v>
      </c>
      <c r="CF399" s="72">
        <f t="shared" si="61"/>
        <v>2016</v>
      </c>
      <c r="CG399" s="72">
        <f t="shared" si="61"/>
        <v>2016</v>
      </c>
      <c r="CH399" s="72">
        <f t="shared" si="61"/>
        <v>2016</v>
      </c>
      <c r="CI399" s="72">
        <f t="shared" si="61"/>
        <v>2016</v>
      </c>
      <c r="CJ399" s="72">
        <f t="shared" si="61"/>
        <v>2016</v>
      </c>
      <c r="CK399" s="72">
        <f t="shared" si="61"/>
        <v>2016</v>
      </c>
      <c r="CL399" s="72">
        <f t="shared" si="61"/>
        <v>2016</v>
      </c>
      <c r="CM399" s="72">
        <f t="shared" si="61"/>
        <v>2017</v>
      </c>
      <c r="CN399" s="72">
        <f t="shared" si="61"/>
        <v>2017</v>
      </c>
      <c r="CO399" s="72">
        <f t="shared" si="61"/>
        <v>2017</v>
      </c>
      <c r="CP399" s="72">
        <f t="shared" si="61"/>
        <v>2017</v>
      </c>
      <c r="CQ399" s="72">
        <f t="shared" si="61"/>
        <v>2017</v>
      </c>
      <c r="CR399" s="72">
        <f t="shared" si="61"/>
        <v>2017</v>
      </c>
      <c r="CS399" s="72">
        <f t="shared" si="61"/>
        <v>2017</v>
      </c>
      <c r="CT399" s="72">
        <f t="shared" si="61"/>
        <v>2017</v>
      </c>
      <c r="CU399" s="72">
        <f t="shared" si="61"/>
        <v>2017</v>
      </c>
      <c r="CV399" s="72">
        <f t="shared" si="61"/>
        <v>2017</v>
      </c>
      <c r="CW399" s="72">
        <f t="shared" si="61"/>
        <v>2017</v>
      </c>
      <c r="CX399" s="72">
        <f t="shared" si="61"/>
        <v>2017</v>
      </c>
      <c r="CY399" s="72">
        <f t="shared" si="61"/>
        <v>2018</v>
      </c>
      <c r="CZ399" s="72">
        <f t="shared" si="61"/>
        <v>2018</v>
      </c>
      <c r="DA399" s="72"/>
      <c r="DB399" s="72"/>
      <c r="DC399" s="72">
        <f t="shared" si="61"/>
        <v>2018</v>
      </c>
      <c r="DD399" s="72">
        <f t="shared" si="61"/>
        <v>2018</v>
      </c>
      <c r="DE399" s="72">
        <f t="shared" si="61"/>
        <v>2018</v>
      </c>
      <c r="DF399" s="72">
        <f t="shared" si="61"/>
        <v>2018</v>
      </c>
      <c r="DG399" s="72">
        <f t="shared" si="61"/>
        <v>2018</v>
      </c>
      <c r="DH399" s="72">
        <f t="shared" si="61"/>
        <v>2018</v>
      </c>
      <c r="DI399" s="72">
        <f t="shared" si="61"/>
        <v>2018</v>
      </c>
      <c r="DJ399" s="72">
        <f t="shared" si="61"/>
        <v>2018</v>
      </c>
      <c r="DK399" s="72">
        <f t="shared" si="61"/>
        <v>2019</v>
      </c>
      <c r="DL399" s="72">
        <f t="shared" si="61"/>
        <v>2019</v>
      </c>
      <c r="DM399" s="72">
        <f t="shared" si="61"/>
        <v>2019</v>
      </c>
      <c r="DN399" s="72">
        <f t="shared" si="61"/>
        <v>2019</v>
      </c>
      <c r="DO399" s="72">
        <f t="shared" si="61"/>
        <v>2019</v>
      </c>
      <c r="DP399" s="72">
        <f t="shared" si="61"/>
        <v>2019</v>
      </c>
      <c r="DQ399" s="72">
        <f t="shared" si="61"/>
        <v>2019</v>
      </c>
      <c r="DR399" s="72">
        <f t="shared" si="61"/>
        <v>2019</v>
      </c>
      <c r="DS399" s="72">
        <f t="shared" si="61"/>
        <v>2019</v>
      </c>
      <c r="DT399" s="72">
        <f t="shared" si="61"/>
        <v>2019</v>
      </c>
      <c r="DU399" s="72">
        <f t="shared" si="61"/>
        <v>2019</v>
      </c>
      <c r="DV399" s="72">
        <f t="shared" si="61"/>
        <v>2019</v>
      </c>
      <c r="DW399" s="306"/>
      <c r="DX399" s="73"/>
      <c r="DY399" s="59"/>
    </row>
    <row r="400" spans="1:156" ht="18" x14ac:dyDescent="0.25">
      <c r="E400" s="74" t="s">
        <v>200</v>
      </c>
      <c r="G400" s="36">
        <f t="shared" ref="G400:AL400" si="62">G5</f>
        <v>40179</v>
      </c>
      <c r="H400" s="36">
        <f t="shared" si="62"/>
        <v>40210</v>
      </c>
      <c r="I400" s="36">
        <f t="shared" si="62"/>
        <v>40238</v>
      </c>
      <c r="J400" s="36">
        <f t="shared" si="62"/>
        <v>40269</v>
      </c>
      <c r="K400" s="36">
        <f t="shared" si="62"/>
        <v>40299</v>
      </c>
      <c r="L400" s="36">
        <f t="shared" si="62"/>
        <v>40330</v>
      </c>
      <c r="M400" s="36">
        <f t="shared" si="62"/>
        <v>40360</v>
      </c>
      <c r="N400" s="36">
        <f t="shared" si="62"/>
        <v>40391</v>
      </c>
      <c r="O400" s="36">
        <f t="shared" si="62"/>
        <v>40422</v>
      </c>
      <c r="P400" s="36">
        <f t="shared" si="62"/>
        <v>40452</v>
      </c>
      <c r="Q400" s="36">
        <f t="shared" si="62"/>
        <v>40483</v>
      </c>
      <c r="R400" s="36">
        <f t="shared" si="62"/>
        <v>40513</v>
      </c>
      <c r="S400" s="36">
        <f t="shared" si="62"/>
        <v>40544</v>
      </c>
      <c r="T400" s="36">
        <f t="shared" si="62"/>
        <v>40575</v>
      </c>
      <c r="U400" s="36">
        <f t="shared" si="62"/>
        <v>40603</v>
      </c>
      <c r="V400" s="36">
        <f t="shared" si="62"/>
        <v>40634</v>
      </c>
      <c r="W400" s="36">
        <f t="shared" si="62"/>
        <v>40664</v>
      </c>
      <c r="X400" s="36">
        <f t="shared" si="62"/>
        <v>40695</v>
      </c>
      <c r="Y400" s="36">
        <f t="shared" si="62"/>
        <v>40725</v>
      </c>
      <c r="Z400" s="36">
        <f t="shared" si="62"/>
        <v>40756</v>
      </c>
      <c r="AA400" s="36">
        <f t="shared" si="62"/>
        <v>40787</v>
      </c>
      <c r="AB400" s="36">
        <f t="shared" si="62"/>
        <v>40817</v>
      </c>
      <c r="AC400" s="36">
        <f t="shared" si="62"/>
        <v>40848</v>
      </c>
      <c r="AD400" s="36">
        <f t="shared" si="62"/>
        <v>40878</v>
      </c>
      <c r="AE400" s="36">
        <f t="shared" si="62"/>
        <v>40909</v>
      </c>
      <c r="AF400" s="36">
        <f t="shared" si="62"/>
        <v>40940</v>
      </c>
      <c r="AG400" s="36">
        <f t="shared" si="62"/>
        <v>40969</v>
      </c>
      <c r="AH400" s="36">
        <f t="shared" si="62"/>
        <v>41000</v>
      </c>
      <c r="AI400" s="36">
        <f t="shared" si="62"/>
        <v>41030</v>
      </c>
      <c r="AJ400" s="36">
        <f t="shared" si="62"/>
        <v>41061</v>
      </c>
      <c r="AK400" s="36">
        <f t="shared" si="62"/>
        <v>41091</v>
      </c>
      <c r="AL400" s="36">
        <f t="shared" si="62"/>
        <v>41122</v>
      </c>
      <c r="AM400" s="36">
        <f t="shared" ref="AM400:BR400" si="63">AM5</f>
        <v>41153</v>
      </c>
      <c r="AN400" s="36">
        <f t="shared" si="63"/>
        <v>41183</v>
      </c>
      <c r="AO400" s="36">
        <f t="shared" si="63"/>
        <v>41214</v>
      </c>
      <c r="AP400" s="36">
        <f t="shared" si="63"/>
        <v>41244</v>
      </c>
      <c r="AQ400" s="36">
        <f t="shared" si="63"/>
        <v>41275</v>
      </c>
      <c r="AR400" s="36">
        <f t="shared" si="63"/>
        <v>41306</v>
      </c>
      <c r="AS400" s="36">
        <f t="shared" si="63"/>
        <v>41334</v>
      </c>
      <c r="AT400" s="36">
        <f t="shared" si="63"/>
        <v>41365</v>
      </c>
      <c r="AU400" s="36">
        <f t="shared" si="63"/>
        <v>41395</v>
      </c>
      <c r="AV400" s="36">
        <f t="shared" si="63"/>
        <v>41426</v>
      </c>
      <c r="AW400" s="36">
        <f t="shared" si="63"/>
        <v>41456</v>
      </c>
      <c r="AX400" s="36">
        <f t="shared" si="63"/>
        <v>41487</v>
      </c>
      <c r="AY400" s="36">
        <f t="shared" si="63"/>
        <v>41518</v>
      </c>
      <c r="AZ400" s="36">
        <f t="shared" si="63"/>
        <v>41548</v>
      </c>
      <c r="BA400" s="36">
        <f t="shared" si="63"/>
        <v>41579</v>
      </c>
      <c r="BB400" s="36">
        <f t="shared" si="63"/>
        <v>41609</v>
      </c>
      <c r="BC400" s="36">
        <f t="shared" si="63"/>
        <v>41640</v>
      </c>
      <c r="BD400" s="36">
        <f t="shared" si="63"/>
        <v>41671</v>
      </c>
      <c r="BE400" s="36">
        <f t="shared" si="63"/>
        <v>41699</v>
      </c>
      <c r="BF400" s="36">
        <f t="shared" si="63"/>
        <v>41730</v>
      </c>
      <c r="BG400" s="36">
        <f t="shared" si="63"/>
        <v>41760</v>
      </c>
      <c r="BH400" s="36">
        <f t="shared" si="63"/>
        <v>41791</v>
      </c>
      <c r="BI400" s="36">
        <f t="shared" si="63"/>
        <v>41821</v>
      </c>
      <c r="BJ400" s="36">
        <f t="shared" si="63"/>
        <v>41852</v>
      </c>
      <c r="BK400" s="36">
        <f t="shared" si="63"/>
        <v>41883</v>
      </c>
      <c r="BL400" s="36">
        <f t="shared" si="63"/>
        <v>41913</v>
      </c>
      <c r="BM400" s="36">
        <f t="shared" si="63"/>
        <v>41944</v>
      </c>
      <c r="BN400" s="36">
        <f t="shared" si="63"/>
        <v>41974</v>
      </c>
      <c r="BO400" s="36">
        <f t="shared" si="63"/>
        <v>42005</v>
      </c>
      <c r="BP400" s="36">
        <f t="shared" si="63"/>
        <v>42036</v>
      </c>
      <c r="BQ400" s="36">
        <f t="shared" si="63"/>
        <v>42064</v>
      </c>
      <c r="BR400" s="36">
        <f t="shared" si="63"/>
        <v>42095</v>
      </c>
      <c r="BS400" s="36">
        <f t="shared" ref="BS400:CX400" si="64">BS5</f>
        <v>42125</v>
      </c>
      <c r="BT400" s="36">
        <f t="shared" si="64"/>
        <v>42156</v>
      </c>
      <c r="BU400" s="36">
        <f t="shared" si="64"/>
        <v>42186</v>
      </c>
      <c r="BV400" s="36">
        <f t="shared" si="64"/>
        <v>42217</v>
      </c>
      <c r="BW400" s="36">
        <f t="shared" si="64"/>
        <v>42248</v>
      </c>
      <c r="BX400" s="36">
        <f t="shared" si="64"/>
        <v>42278</v>
      </c>
      <c r="BY400" s="36">
        <f t="shared" si="64"/>
        <v>42309</v>
      </c>
      <c r="BZ400" s="36">
        <f t="shared" si="64"/>
        <v>42339</v>
      </c>
      <c r="CA400" s="36">
        <f t="shared" si="64"/>
        <v>42370</v>
      </c>
      <c r="CB400" s="36">
        <f t="shared" si="64"/>
        <v>42401</v>
      </c>
      <c r="CC400" s="36">
        <f t="shared" si="64"/>
        <v>42430</v>
      </c>
      <c r="CD400" s="36">
        <f t="shared" si="64"/>
        <v>42461</v>
      </c>
      <c r="CE400" s="36">
        <f t="shared" si="64"/>
        <v>42491</v>
      </c>
      <c r="CF400" s="36">
        <f t="shared" si="64"/>
        <v>42522</v>
      </c>
      <c r="CG400" s="36">
        <f t="shared" si="64"/>
        <v>42552</v>
      </c>
      <c r="CH400" s="36">
        <f t="shared" si="64"/>
        <v>42583</v>
      </c>
      <c r="CI400" s="36">
        <f t="shared" si="64"/>
        <v>42614</v>
      </c>
      <c r="CJ400" s="36">
        <f t="shared" si="64"/>
        <v>42644</v>
      </c>
      <c r="CK400" s="36">
        <f t="shared" si="64"/>
        <v>42675</v>
      </c>
      <c r="CL400" s="36">
        <f t="shared" si="64"/>
        <v>42705</v>
      </c>
      <c r="CM400" s="36">
        <f t="shared" si="64"/>
        <v>42736</v>
      </c>
      <c r="CN400" s="36">
        <f t="shared" si="64"/>
        <v>42767</v>
      </c>
      <c r="CO400" s="36">
        <f t="shared" si="64"/>
        <v>42795</v>
      </c>
      <c r="CP400" s="36">
        <f t="shared" si="64"/>
        <v>42826</v>
      </c>
      <c r="CQ400" s="36">
        <f t="shared" si="64"/>
        <v>42856</v>
      </c>
      <c r="CR400" s="36">
        <f t="shared" si="64"/>
        <v>42887</v>
      </c>
      <c r="CS400" s="36">
        <f t="shared" si="64"/>
        <v>42917</v>
      </c>
      <c r="CT400" s="36">
        <f t="shared" si="64"/>
        <v>42948</v>
      </c>
      <c r="CU400" s="36">
        <f t="shared" si="64"/>
        <v>42979</v>
      </c>
      <c r="CV400" s="36">
        <f t="shared" si="64"/>
        <v>43009</v>
      </c>
      <c r="CW400" s="36">
        <f t="shared" si="64"/>
        <v>43040</v>
      </c>
      <c r="CX400" s="36">
        <f t="shared" si="64"/>
        <v>43070</v>
      </c>
      <c r="CY400" s="36">
        <f t="shared" ref="CY400:DV400" si="65">CY5</f>
        <v>43101</v>
      </c>
      <c r="CZ400" s="36">
        <f t="shared" si="65"/>
        <v>43132</v>
      </c>
      <c r="DA400" s="36">
        <f t="shared" si="65"/>
        <v>43160</v>
      </c>
      <c r="DB400" s="36">
        <f t="shared" si="65"/>
        <v>43191</v>
      </c>
      <c r="DC400" s="36">
        <f t="shared" si="65"/>
        <v>43221</v>
      </c>
      <c r="DD400" s="36">
        <f t="shared" si="65"/>
        <v>43252</v>
      </c>
      <c r="DE400" s="36">
        <f t="shared" si="65"/>
        <v>43282</v>
      </c>
      <c r="DF400" s="36">
        <f t="shared" si="65"/>
        <v>43313</v>
      </c>
      <c r="DG400" s="36">
        <f t="shared" si="65"/>
        <v>43344</v>
      </c>
      <c r="DH400" s="36">
        <f t="shared" si="65"/>
        <v>43374</v>
      </c>
      <c r="DI400" s="36">
        <f t="shared" si="65"/>
        <v>43405</v>
      </c>
      <c r="DJ400" s="36">
        <f t="shared" si="65"/>
        <v>43435</v>
      </c>
      <c r="DK400" s="36">
        <f t="shared" si="65"/>
        <v>43466</v>
      </c>
      <c r="DL400" s="36">
        <f t="shared" si="65"/>
        <v>43497</v>
      </c>
      <c r="DM400" s="36">
        <f t="shared" si="65"/>
        <v>43525</v>
      </c>
      <c r="DN400" s="36">
        <f t="shared" si="65"/>
        <v>43556</v>
      </c>
      <c r="DO400" s="36">
        <f t="shared" si="65"/>
        <v>43586</v>
      </c>
      <c r="DP400" s="36">
        <f t="shared" si="65"/>
        <v>43617</v>
      </c>
      <c r="DQ400" s="36">
        <f t="shared" si="65"/>
        <v>43647</v>
      </c>
      <c r="DR400" s="36">
        <f t="shared" si="65"/>
        <v>43678</v>
      </c>
      <c r="DS400" s="36">
        <f t="shared" si="65"/>
        <v>43709</v>
      </c>
      <c r="DT400" s="36">
        <f t="shared" si="65"/>
        <v>43739</v>
      </c>
      <c r="DU400" s="36">
        <f t="shared" si="65"/>
        <v>43770</v>
      </c>
      <c r="DV400" s="36">
        <f t="shared" si="65"/>
        <v>43800</v>
      </c>
      <c r="DW400" s="475" t="s">
        <v>202</v>
      </c>
      <c r="DX400" s="76">
        <v>238140912609.10291</v>
      </c>
      <c r="DY400" s="76">
        <v>238140912614.9736</v>
      </c>
      <c r="DZ400" s="309"/>
    </row>
    <row r="401" spans="5:152" x14ac:dyDescent="0.2">
      <c r="E401" s="51" t="s">
        <v>214</v>
      </c>
      <c r="G401" s="43">
        <f t="shared" ref="G401:AL401" si="66">+G6</f>
        <v>0</v>
      </c>
      <c r="H401" s="43">
        <f t="shared" si="66"/>
        <v>0</v>
      </c>
      <c r="I401" s="43">
        <f t="shared" si="66"/>
        <v>0</v>
      </c>
      <c r="J401" s="43">
        <f t="shared" si="66"/>
        <v>0</v>
      </c>
      <c r="K401" s="43">
        <f t="shared" si="66"/>
        <v>0</v>
      </c>
      <c r="L401" s="43">
        <f t="shared" si="66"/>
        <v>0</v>
      </c>
      <c r="M401" s="43">
        <f t="shared" si="66"/>
        <v>0</v>
      </c>
      <c r="N401" s="43">
        <f t="shared" si="66"/>
        <v>0</v>
      </c>
      <c r="O401" s="43">
        <f t="shared" si="66"/>
        <v>0</v>
      </c>
      <c r="P401" s="43">
        <f t="shared" si="66"/>
        <v>0</v>
      </c>
      <c r="Q401" s="43">
        <f t="shared" si="66"/>
        <v>0</v>
      </c>
      <c r="R401" s="43">
        <f t="shared" si="66"/>
        <v>0</v>
      </c>
      <c r="S401" s="43">
        <f t="shared" si="66"/>
        <v>0</v>
      </c>
      <c r="T401" s="43">
        <f t="shared" si="66"/>
        <v>0</v>
      </c>
      <c r="U401" s="43">
        <f t="shared" si="66"/>
        <v>0</v>
      </c>
      <c r="V401" s="43">
        <f t="shared" si="66"/>
        <v>0</v>
      </c>
      <c r="W401" s="43">
        <f t="shared" si="66"/>
        <v>0</v>
      </c>
      <c r="X401" s="43">
        <f t="shared" si="66"/>
        <v>0</v>
      </c>
      <c r="Y401" s="43">
        <f t="shared" si="66"/>
        <v>0</v>
      </c>
      <c r="Z401" s="43">
        <f t="shared" si="66"/>
        <v>0</v>
      </c>
      <c r="AA401" s="43">
        <f t="shared" si="66"/>
        <v>0</v>
      </c>
      <c r="AB401" s="43">
        <f t="shared" si="66"/>
        <v>0</v>
      </c>
      <c r="AC401" s="43">
        <f t="shared" si="66"/>
        <v>0</v>
      </c>
      <c r="AD401" s="43">
        <f t="shared" si="66"/>
        <v>6826.0504129999999</v>
      </c>
      <c r="AE401" s="43">
        <f t="shared" si="66"/>
        <v>0</v>
      </c>
      <c r="AF401" s="43">
        <f t="shared" si="66"/>
        <v>0</v>
      </c>
      <c r="AG401" s="43">
        <f t="shared" si="66"/>
        <v>0</v>
      </c>
      <c r="AH401" s="43">
        <f t="shared" si="66"/>
        <v>0</v>
      </c>
      <c r="AI401" s="43">
        <f t="shared" si="66"/>
        <v>0</v>
      </c>
      <c r="AJ401" s="43">
        <f t="shared" si="66"/>
        <v>0</v>
      </c>
      <c r="AK401" s="43">
        <f t="shared" si="66"/>
        <v>0</v>
      </c>
      <c r="AL401" s="43">
        <f t="shared" si="66"/>
        <v>0</v>
      </c>
      <c r="AM401" s="43">
        <f t="shared" ref="AM401:BR401" si="67">+AM6</f>
        <v>17831.405897000001</v>
      </c>
      <c r="AN401" s="43">
        <f t="shared" si="67"/>
        <v>0</v>
      </c>
      <c r="AO401" s="43">
        <f t="shared" si="67"/>
        <v>0</v>
      </c>
      <c r="AP401" s="43">
        <f t="shared" si="67"/>
        <v>6970.0770650000004</v>
      </c>
      <c r="AQ401" s="43">
        <f t="shared" si="67"/>
        <v>0</v>
      </c>
      <c r="AR401" s="43">
        <f t="shared" si="67"/>
        <v>0</v>
      </c>
      <c r="AS401" s="43">
        <f t="shared" si="67"/>
        <v>0</v>
      </c>
      <c r="AT401" s="43">
        <f t="shared" si="67"/>
        <v>16728.504057999999</v>
      </c>
      <c r="AU401" s="43">
        <f t="shared" si="67"/>
        <v>0</v>
      </c>
      <c r="AV401" s="43">
        <f t="shared" si="67"/>
        <v>0</v>
      </c>
      <c r="AW401" s="43">
        <f t="shared" si="67"/>
        <v>0</v>
      </c>
      <c r="AX401" s="43">
        <f t="shared" si="67"/>
        <v>0</v>
      </c>
      <c r="AY401" s="43">
        <f t="shared" si="67"/>
        <v>0</v>
      </c>
      <c r="AZ401" s="43">
        <f t="shared" si="67"/>
        <v>8041.5903779079999</v>
      </c>
      <c r="BA401" s="43">
        <f t="shared" si="67"/>
        <v>0</v>
      </c>
      <c r="BB401" s="43">
        <f t="shared" si="67"/>
        <v>0</v>
      </c>
      <c r="BC401" s="43">
        <f t="shared" si="67"/>
        <v>0</v>
      </c>
      <c r="BD401" s="43">
        <f t="shared" si="67"/>
        <v>0</v>
      </c>
      <c r="BE401" s="43">
        <f t="shared" si="67"/>
        <v>0</v>
      </c>
      <c r="BF401" s="43">
        <f t="shared" si="67"/>
        <v>0</v>
      </c>
      <c r="BG401" s="43">
        <f t="shared" si="67"/>
        <v>0</v>
      </c>
      <c r="BH401" s="43">
        <f t="shared" si="67"/>
        <v>0</v>
      </c>
      <c r="BI401" s="43">
        <f t="shared" si="67"/>
        <v>0</v>
      </c>
      <c r="BJ401" s="43">
        <f t="shared" si="67"/>
        <v>12351.32135744</v>
      </c>
      <c r="BK401" s="43">
        <f t="shared" si="67"/>
        <v>0</v>
      </c>
      <c r="BL401" s="43">
        <f t="shared" si="67"/>
        <v>798.78499955999996</v>
      </c>
      <c r="BM401" s="43">
        <f t="shared" si="67"/>
        <v>0</v>
      </c>
      <c r="BN401" s="43">
        <f t="shared" si="67"/>
        <v>10000</v>
      </c>
      <c r="BO401" s="43">
        <f t="shared" si="67"/>
        <v>0</v>
      </c>
      <c r="BP401" s="43">
        <f t="shared" si="67"/>
        <v>0</v>
      </c>
      <c r="BQ401" s="43">
        <f t="shared" si="67"/>
        <v>0</v>
      </c>
      <c r="BR401" s="43">
        <f t="shared" si="67"/>
        <v>0</v>
      </c>
      <c r="BS401" s="43">
        <f t="shared" ref="BS401:CX401" si="68">+BS6</f>
        <v>0</v>
      </c>
      <c r="BT401" s="43">
        <f t="shared" si="68"/>
        <v>0</v>
      </c>
      <c r="BU401" s="43">
        <f t="shared" si="68"/>
        <v>0</v>
      </c>
      <c r="BV401" s="43">
        <f t="shared" si="68"/>
        <v>0</v>
      </c>
      <c r="BW401" s="43">
        <f t="shared" si="68"/>
        <v>18789</v>
      </c>
      <c r="BX401" s="43">
        <f t="shared" si="68"/>
        <v>0</v>
      </c>
      <c r="BY401" s="43">
        <f t="shared" si="68"/>
        <v>0</v>
      </c>
      <c r="BZ401" s="43">
        <f t="shared" si="68"/>
        <v>0</v>
      </c>
      <c r="CA401" s="43">
        <f t="shared" si="68"/>
        <v>0</v>
      </c>
      <c r="CB401" s="43">
        <f t="shared" si="68"/>
        <v>0</v>
      </c>
      <c r="CC401" s="43">
        <f t="shared" si="68"/>
        <v>0</v>
      </c>
      <c r="CD401" s="43">
        <f t="shared" si="68"/>
        <v>0</v>
      </c>
      <c r="CE401" s="43">
        <f t="shared" si="68"/>
        <v>0</v>
      </c>
      <c r="CF401" s="43">
        <f t="shared" si="68"/>
        <v>0</v>
      </c>
      <c r="CG401" s="43">
        <f t="shared" si="68"/>
        <v>0</v>
      </c>
      <c r="CH401" s="43">
        <f t="shared" si="68"/>
        <v>0</v>
      </c>
      <c r="CI401" s="43">
        <f t="shared" si="68"/>
        <v>0</v>
      </c>
      <c r="CJ401" s="43">
        <f t="shared" si="68"/>
        <v>1700</v>
      </c>
      <c r="CK401" s="43">
        <f t="shared" si="68"/>
        <v>0</v>
      </c>
      <c r="CL401" s="43">
        <f t="shared" si="68"/>
        <v>0</v>
      </c>
      <c r="CM401" s="43">
        <f t="shared" si="68"/>
        <v>0</v>
      </c>
      <c r="CN401" s="43">
        <f t="shared" si="68"/>
        <v>11000</v>
      </c>
      <c r="CO401" s="43">
        <f t="shared" si="68"/>
        <v>0</v>
      </c>
      <c r="CP401" s="43">
        <f t="shared" si="68"/>
        <v>0</v>
      </c>
      <c r="CQ401" s="43">
        <f t="shared" si="68"/>
        <v>0</v>
      </c>
      <c r="CR401" s="43">
        <f t="shared" si="68"/>
        <v>0</v>
      </c>
      <c r="CS401" s="43">
        <f t="shared" si="68"/>
        <v>0</v>
      </c>
      <c r="CT401" s="43">
        <f t="shared" si="68"/>
        <v>563</v>
      </c>
      <c r="CU401" s="43">
        <f t="shared" si="68"/>
        <v>0</v>
      </c>
      <c r="CV401" s="43">
        <f t="shared" si="68"/>
        <v>5264.3585750000002</v>
      </c>
      <c r="CW401" s="43">
        <f t="shared" si="68"/>
        <v>0</v>
      </c>
      <c r="CX401" s="43">
        <f t="shared" si="68"/>
        <v>0</v>
      </c>
      <c r="CY401" s="43">
        <f t="shared" ref="CY401:DV401" si="69">+CY6</f>
        <v>0</v>
      </c>
      <c r="CZ401" s="43">
        <f t="shared" si="69"/>
        <v>0</v>
      </c>
      <c r="DA401" s="43">
        <f t="shared" si="69"/>
        <v>0</v>
      </c>
      <c r="DB401" s="43">
        <f t="shared" si="69"/>
        <v>0</v>
      </c>
      <c r="DC401" s="43">
        <f t="shared" si="69"/>
        <v>0</v>
      </c>
      <c r="DD401" s="43">
        <f t="shared" si="69"/>
        <v>0</v>
      </c>
      <c r="DE401" s="43">
        <f t="shared" si="69"/>
        <v>0</v>
      </c>
      <c r="DF401" s="43">
        <f t="shared" si="69"/>
        <v>13767.641425</v>
      </c>
      <c r="DG401" s="43">
        <f t="shared" si="69"/>
        <v>0</v>
      </c>
      <c r="DH401" s="43">
        <f t="shared" si="69"/>
        <v>0</v>
      </c>
      <c r="DI401" s="43">
        <f t="shared" si="69"/>
        <v>0</v>
      </c>
      <c r="DJ401" s="43">
        <f t="shared" si="69"/>
        <v>28143.941225000002</v>
      </c>
      <c r="DK401" s="43">
        <f t="shared" si="69"/>
        <v>0</v>
      </c>
      <c r="DL401" s="43">
        <f t="shared" si="69"/>
        <v>0</v>
      </c>
      <c r="DM401" s="43">
        <f t="shared" si="69"/>
        <v>0</v>
      </c>
      <c r="DN401" s="43">
        <f t="shared" si="69"/>
        <v>0</v>
      </c>
      <c r="DO401" s="43">
        <f t="shared" si="69"/>
        <v>0</v>
      </c>
      <c r="DP401" s="43">
        <f t="shared" si="69"/>
        <v>10988.259461000001</v>
      </c>
      <c r="DQ401" s="43">
        <f t="shared" si="69"/>
        <v>0</v>
      </c>
      <c r="DR401" s="43">
        <f t="shared" si="69"/>
        <v>0</v>
      </c>
      <c r="DS401" s="43">
        <f t="shared" si="69"/>
        <v>10000</v>
      </c>
      <c r="DT401" s="43">
        <f t="shared" si="69"/>
        <v>0</v>
      </c>
      <c r="DU401" s="43">
        <f t="shared" si="69"/>
        <v>0</v>
      </c>
      <c r="DV401" s="43">
        <f t="shared" si="69"/>
        <v>8000</v>
      </c>
      <c r="DW401" s="42">
        <f>SUM(G401:DV401)</f>
        <v>187763.93485390799</v>
      </c>
      <c r="DX401" s="60"/>
      <c r="DY401" s="76"/>
    </row>
    <row r="402" spans="5:152" x14ac:dyDescent="0.2">
      <c r="E402" s="51" t="s">
        <v>215</v>
      </c>
      <c r="G402" s="43">
        <f t="shared" ref="G402:AL402" si="70">G9+G10</f>
        <v>5936.4696560000002</v>
      </c>
      <c r="H402" s="43">
        <f t="shared" si="70"/>
        <v>8073.4380970000002</v>
      </c>
      <c r="I402" s="43">
        <f t="shared" si="70"/>
        <v>0</v>
      </c>
      <c r="J402" s="43">
        <f t="shared" si="70"/>
        <v>0</v>
      </c>
      <c r="K402" s="43">
        <f t="shared" si="70"/>
        <v>0</v>
      </c>
      <c r="L402" s="43">
        <f t="shared" si="70"/>
        <v>0</v>
      </c>
      <c r="M402" s="43">
        <f t="shared" si="70"/>
        <v>0</v>
      </c>
      <c r="N402" s="43">
        <f t="shared" si="70"/>
        <v>0</v>
      </c>
      <c r="O402" s="43">
        <f t="shared" si="70"/>
        <v>0</v>
      </c>
      <c r="P402" s="43">
        <f t="shared" si="70"/>
        <v>0</v>
      </c>
      <c r="Q402" s="43">
        <f t="shared" si="70"/>
        <v>760</v>
      </c>
      <c r="R402" s="43">
        <f t="shared" si="70"/>
        <v>0</v>
      </c>
      <c r="S402" s="43">
        <f t="shared" si="70"/>
        <v>0</v>
      </c>
      <c r="T402" s="43">
        <f t="shared" si="70"/>
        <v>0</v>
      </c>
      <c r="U402" s="43">
        <f t="shared" si="70"/>
        <v>0</v>
      </c>
      <c r="V402" s="43">
        <f t="shared" si="70"/>
        <v>1324.8902740000001</v>
      </c>
      <c r="W402" s="43">
        <f t="shared" si="70"/>
        <v>995.56644600000004</v>
      </c>
      <c r="X402" s="43">
        <f t="shared" si="70"/>
        <v>497.78322300000002</v>
      </c>
      <c r="Y402" s="43">
        <f t="shared" si="70"/>
        <v>0</v>
      </c>
      <c r="Z402" s="43">
        <f t="shared" si="70"/>
        <v>995.56644600000004</v>
      </c>
      <c r="AA402" s="43">
        <f t="shared" si="70"/>
        <v>995.56644600000004</v>
      </c>
      <c r="AB402" s="43">
        <f t="shared" si="70"/>
        <v>497.78322300000002</v>
      </c>
      <c r="AC402" s="43">
        <f t="shared" si="70"/>
        <v>497.78322300000002</v>
      </c>
      <c r="AD402" s="43">
        <f t="shared" si="70"/>
        <v>497.78322300000002</v>
      </c>
      <c r="AE402" s="43">
        <f t="shared" si="70"/>
        <v>0</v>
      </c>
      <c r="AF402" s="43">
        <f t="shared" si="70"/>
        <v>0</v>
      </c>
      <c r="AG402" s="43">
        <f t="shared" si="70"/>
        <v>1854</v>
      </c>
      <c r="AH402" s="43">
        <f t="shared" si="70"/>
        <v>927</v>
      </c>
      <c r="AI402" s="43">
        <f t="shared" si="70"/>
        <v>1854</v>
      </c>
      <c r="AJ402" s="43">
        <f t="shared" si="70"/>
        <v>0</v>
      </c>
      <c r="AK402" s="43">
        <f t="shared" si="70"/>
        <v>1854</v>
      </c>
      <c r="AL402" s="43">
        <f t="shared" si="70"/>
        <v>927</v>
      </c>
      <c r="AM402" s="43">
        <f t="shared" ref="AM402:BR402" si="71">AM9+AM10</f>
        <v>927</v>
      </c>
      <c r="AN402" s="43">
        <f t="shared" si="71"/>
        <v>927</v>
      </c>
      <c r="AO402" s="43">
        <f t="shared" si="71"/>
        <v>305.20297399999998</v>
      </c>
      <c r="AP402" s="43">
        <f t="shared" si="71"/>
        <v>611</v>
      </c>
      <c r="AQ402" s="43">
        <f t="shared" si="71"/>
        <v>0</v>
      </c>
      <c r="AR402" s="43">
        <f t="shared" si="71"/>
        <v>957.5</v>
      </c>
      <c r="AS402" s="43">
        <f t="shared" si="71"/>
        <v>1915</v>
      </c>
      <c r="AT402" s="43">
        <f t="shared" si="71"/>
        <v>957.5</v>
      </c>
      <c r="AU402" s="43">
        <f t="shared" si="71"/>
        <v>2200.5</v>
      </c>
      <c r="AV402" s="43">
        <f t="shared" si="71"/>
        <v>957.5</v>
      </c>
      <c r="AW402" s="43">
        <f t="shared" si="71"/>
        <v>957.5</v>
      </c>
      <c r="AX402" s="43">
        <f t="shared" si="71"/>
        <v>0</v>
      </c>
      <c r="AY402" s="43">
        <f t="shared" si="71"/>
        <v>1915</v>
      </c>
      <c r="AZ402" s="43">
        <f t="shared" si="71"/>
        <v>957.5</v>
      </c>
      <c r="BA402" s="43">
        <f t="shared" si="71"/>
        <v>0</v>
      </c>
      <c r="BB402" s="43">
        <f t="shared" si="71"/>
        <v>1915</v>
      </c>
      <c r="BC402" s="43">
        <f t="shared" si="71"/>
        <v>0</v>
      </c>
      <c r="BD402" s="43">
        <f t="shared" si="71"/>
        <v>0</v>
      </c>
      <c r="BE402" s="43">
        <f t="shared" si="71"/>
        <v>2933.4999990000001</v>
      </c>
      <c r="BF402" s="43">
        <f t="shared" si="71"/>
        <v>0</v>
      </c>
      <c r="BG402" s="43">
        <f t="shared" si="71"/>
        <v>1955.6666660000001</v>
      </c>
      <c r="BH402" s="43">
        <f t="shared" si="71"/>
        <v>977.83333300000004</v>
      </c>
      <c r="BI402" s="43">
        <f t="shared" si="71"/>
        <v>977.83333300000004</v>
      </c>
      <c r="BJ402" s="43">
        <f t="shared" si="71"/>
        <v>0</v>
      </c>
      <c r="BK402" s="43">
        <f t="shared" si="71"/>
        <v>0</v>
      </c>
      <c r="BL402" s="43">
        <f t="shared" si="71"/>
        <v>4889.1666690000002</v>
      </c>
      <c r="BM402" s="43">
        <f t="shared" si="71"/>
        <v>0</v>
      </c>
      <c r="BN402" s="43">
        <f t="shared" si="71"/>
        <v>0</v>
      </c>
      <c r="BO402" s="43">
        <f t="shared" si="71"/>
        <v>0</v>
      </c>
      <c r="BP402" s="43">
        <f t="shared" si="71"/>
        <v>0</v>
      </c>
      <c r="BQ402" s="43">
        <f t="shared" si="71"/>
        <v>0</v>
      </c>
      <c r="BR402" s="43">
        <f t="shared" si="71"/>
        <v>0</v>
      </c>
      <c r="BS402" s="43">
        <f t="shared" ref="BS402:CX402" si="72">BS9+BS10</f>
        <v>6464.4406019999997</v>
      </c>
      <c r="BT402" s="43">
        <f t="shared" si="72"/>
        <v>0</v>
      </c>
      <c r="BU402" s="43">
        <f t="shared" si="72"/>
        <v>0</v>
      </c>
      <c r="BV402" s="43">
        <f t="shared" si="72"/>
        <v>0</v>
      </c>
      <c r="BW402" s="43">
        <f t="shared" si="72"/>
        <v>0</v>
      </c>
      <c r="BX402" s="43">
        <f t="shared" si="72"/>
        <v>0</v>
      </c>
      <c r="BY402" s="43">
        <f t="shared" si="72"/>
        <v>6464.4406010000002</v>
      </c>
      <c r="BZ402" s="43">
        <f t="shared" si="72"/>
        <v>0</v>
      </c>
      <c r="CA402" s="43">
        <f t="shared" si="72"/>
        <v>0</v>
      </c>
      <c r="CB402" s="43">
        <f t="shared" si="72"/>
        <v>0</v>
      </c>
      <c r="CC402" s="43">
        <f t="shared" si="72"/>
        <v>0</v>
      </c>
      <c r="CD402" s="43">
        <f t="shared" si="72"/>
        <v>0</v>
      </c>
      <c r="CE402" s="43">
        <f t="shared" si="72"/>
        <v>0</v>
      </c>
      <c r="CF402" s="43">
        <f t="shared" si="72"/>
        <v>3000</v>
      </c>
      <c r="CG402" s="43">
        <f t="shared" si="72"/>
        <v>0</v>
      </c>
      <c r="CH402" s="43">
        <f t="shared" si="72"/>
        <v>0</v>
      </c>
      <c r="CI402" s="43">
        <f t="shared" si="72"/>
        <v>0</v>
      </c>
      <c r="CJ402" s="43">
        <f t="shared" si="72"/>
        <v>0</v>
      </c>
      <c r="CK402" s="43">
        <f t="shared" si="72"/>
        <v>0</v>
      </c>
      <c r="CL402" s="43">
        <f t="shared" si="72"/>
        <v>0</v>
      </c>
      <c r="CM402" s="43">
        <f t="shared" si="72"/>
        <v>0</v>
      </c>
      <c r="CN402" s="43">
        <f t="shared" si="72"/>
        <v>0</v>
      </c>
      <c r="CO402" s="43">
        <f t="shared" si="72"/>
        <v>0</v>
      </c>
      <c r="CP402" s="43">
        <f t="shared" si="72"/>
        <v>0</v>
      </c>
      <c r="CQ402" s="43">
        <f t="shared" si="72"/>
        <v>0</v>
      </c>
      <c r="CR402" s="43">
        <f t="shared" si="72"/>
        <v>0</v>
      </c>
      <c r="CS402" s="43">
        <f t="shared" si="72"/>
        <v>0</v>
      </c>
      <c r="CT402" s="43">
        <f t="shared" si="72"/>
        <v>0</v>
      </c>
      <c r="CU402" s="43">
        <f t="shared" si="72"/>
        <v>0</v>
      </c>
      <c r="CV402" s="43">
        <f t="shared" si="72"/>
        <v>0</v>
      </c>
      <c r="CW402" s="43">
        <f t="shared" si="72"/>
        <v>0</v>
      </c>
      <c r="CX402" s="43">
        <f t="shared" si="72"/>
        <v>0</v>
      </c>
      <c r="CY402" s="43">
        <f t="shared" ref="CY402:DV402" si="73">CY9+CY10</f>
        <v>0</v>
      </c>
      <c r="CZ402" s="43">
        <f t="shared" si="73"/>
        <v>0</v>
      </c>
      <c r="DA402" s="43">
        <f t="shared" si="73"/>
        <v>0</v>
      </c>
      <c r="DB402" s="43">
        <f t="shared" si="73"/>
        <v>0</v>
      </c>
      <c r="DC402" s="43">
        <f t="shared" si="73"/>
        <v>0</v>
      </c>
      <c r="DD402" s="43">
        <f t="shared" si="73"/>
        <v>0</v>
      </c>
      <c r="DE402" s="43">
        <f t="shared" si="73"/>
        <v>0</v>
      </c>
      <c r="DF402" s="43">
        <f t="shared" si="73"/>
        <v>0</v>
      </c>
      <c r="DG402" s="43">
        <f t="shared" si="73"/>
        <v>0</v>
      </c>
      <c r="DH402" s="43">
        <f t="shared" si="73"/>
        <v>0</v>
      </c>
      <c r="DI402" s="43">
        <f t="shared" si="73"/>
        <v>0</v>
      </c>
      <c r="DJ402" s="43">
        <f t="shared" si="73"/>
        <v>0</v>
      </c>
      <c r="DK402" s="43">
        <f t="shared" si="73"/>
        <v>0</v>
      </c>
      <c r="DL402" s="43">
        <f t="shared" si="73"/>
        <v>0</v>
      </c>
      <c r="DM402" s="43">
        <f t="shared" si="73"/>
        <v>0</v>
      </c>
      <c r="DN402" s="43">
        <f t="shared" si="73"/>
        <v>0</v>
      </c>
      <c r="DO402" s="43">
        <f t="shared" si="73"/>
        <v>0</v>
      </c>
      <c r="DP402" s="43">
        <f t="shared" si="73"/>
        <v>0</v>
      </c>
      <c r="DQ402" s="43">
        <f t="shared" si="73"/>
        <v>0</v>
      </c>
      <c r="DR402" s="43">
        <f t="shared" si="73"/>
        <v>0</v>
      </c>
      <c r="DS402" s="43">
        <f t="shared" si="73"/>
        <v>0</v>
      </c>
      <c r="DT402" s="43">
        <f t="shared" si="73"/>
        <v>0</v>
      </c>
      <c r="DU402" s="43">
        <f t="shared" si="73"/>
        <v>0</v>
      </c>
      <c r="DV402" s="43">
        <f t="shared" si="73"/>
        <v>0</v>
      </c>
      <c r="DW402" s="42">
        <f>SUM(G402:DV402)</f>
        <v>71654.714433999994</v>
      </c>
      <c r="DX402" s="76"/>
    </row>
    <row r="403" spans="5:152" x14ac:dyDescent="0.2">
      <c r="E403" s="49" t="s">
        <v>216</v>
      </c>
      <c r="F403" s="49"/>
      <c r="G403" s="77">
        <f>+SUM(G401:G402)</f>
        <v>5936.4696560000002</v>
      </c>
      <c r="H403" s="77">
        <f t="shared" ref="H403:BS403" si="74">+SUM(H401:H402)</f>
        <v>8073.4380970000002</v>
      </c>
      <c r="I403" s="77">
        <f t="shared" si="74"/>
        <v>0</v>
      </c>
      <c r="J403" s="77">
        <f t="shared" si="74"/>
        <v>0</v>
      </c>
      <c r="K403" s="77">
        <f t="shared" si="74"/>
        <v>0</v>
      </c>
      <c r="L403" s="77">
        <f t="shared" si="74"/>
        <v>0</v>
      </c>
      <c r="M403" s="77">
        <f t="shared" si="74"/>
        <v>0</v>
      </c>
      <c r="N403" s="77">
        <f t="shared" si="74"/>
        <v>0</v>
      </c>
      <c r="O403" s="77">
        <f t="shared" si="74"/>
        <v>0</v>
      </c>
      <c r="P403" s="77">
        <f t="shared" si="74"/>
        <v>0</v>
      </c>
      <c r="Q403" s="77">
        <f t="shared" si="74"/>
        <v>760</v>
      </c>
      <c r="R403" s="77">
        <f t="shared" si="74"/>
        <v>0</v>
      </c>
      <c r="S403" s="77">
        <f t="shared" si="74"/>
        <v>0</v>
      </c>
      <c r="T403" s="77">
        <f t="shared" si="74"/>
        <v>0</v>
      </c>
      <c r="U403" s="77">
        <f t="shared" si="74"/>
        <v>0</v>
      </c>
      <c r="V403" s="77">
        <f t="shared" si="74"/>
        <v>1324.8902740000001</v>
      </c>
      <c r="W403" s="77">
        <f t="shared" si="74"/>
        <v>995.56644600000004</v>
      </c>
      <c r="X403" s="77">
        <f t="shared" si="74"/>
        <v>497.78322300000002</v>
      </c>
      <c r="Y403" s="77">
        <f t="shared" si="74"/>
        <v>0</v>
      </c>
      <c r="Z403" s="77">
        <f t="shared" si="74"/>
        <v>995.56644600000004</v>
      </c>
      <c r="AA403" s="77">
        <f t="shared" si="74"/>
        <v>995.56644600000004</v>
      </c>
      <c r="AB403" s="77">
        <f t="shared" si="74"/>
        <v>497.78322300000002</v>
      </c>
      <c r="AC403" s="77">
        <f t="shared" si="74"/>
        <v>497.78322300000002</v>
      </c>
      <c r="AD403" s="77">
        <f t="shared" si="74"/>
        <v>7323.8336360000003</v>
      </c>
      <c r="AE403" s="77">
        <f t="shared" si="74"/>
        <v>0</v>
      </c>
      <c r="AF403" s="77">
        <f t="shared" si="74"/>
        <v>0</v>
      </c>
      <c r="AG403" s="77">
        <f t="shared" si="74"/>
        <v>1854</v>
      </c>
      <c r="AH403" s="77">
        <f t="shared" si="74"/>
        <v>927</v>
      </c>
      <c r="AI403" s="77">
        <f t="shared" si="74"/>
        <v>1854</v>
      </c>
      <c r="AJ403" s="77">
        <f t="shared" si="74"/>
        <v>0</v>
      </c>
      <c r="AK403" s="77">
        <f t="shared" si="74"/>
        <v>1854</v>
      </c>
      <c r="AL403" s="77">
        <f t="shared" si="74"/>
        <v>927</v>
      </c>
      <c r="AM403" s="77">
        <f t="shared" si="74"/>
        <v>18758.405897000001</v>
      </c>
      <c r="AN403" s="77">
        <f t="shared" si="74"/>
        <v>927</v>
      </c>
      <c r="AO403" s="77">
        <f t="shared" si="74"/>
        <v>305.20297399999998</v>
      </c>
      <c r="AP403" s="77">
        <f t="shared" si="74"/>
        <v>7581.0770650000004</v>
      </c>
      <c r="AQ403" s="77">
        <f t="shared" si="74"/>
        <v>0</v>
      </c>
      <c r="AR403" s="77">
        <f t="shared" si="74"/>
        <v>957.5</v>
      </c>
      <c r="AS403" s="77">
        <f t="shared" si="74"/>
        <v>1915</v>
      </c>
      <c r="AT403" s="77">
        <f t="shared" si="74"/>
        <v>17686.004057999999</v>
      </c>
      <c r="AU403" s="77">
        <f t="shared" si="74"/>
        <v>2200.5</v>
      </c>
      <c r="AV403" s="77">
        <f t="shared" si="74"/>
        <v>957.5</v>
      </c>
      <c r="AW403" s="77">
        <f t="shared" si="74"/>
        <v>957.5</v>
      </c>
      <c r="AX403" s="77">
        <f t="shared" si="74"/>
        <v>0</v>
      </c>
      <c r="AY403" s="77">
        <f t="shared" si="74"/>
        <v>1915</v>
      </c>
      <c r="AZ403" s="77">
        <f t="shared" si="74"/>
        <v>8999.0903779079999</v>
      </c>
      <c r="BA403" s="77">
        <f t="shared" si="74"/>
        <v>0</v>
      </c>
      <c r="BB403" s="77">
        <f t="shared" si="74"/>
        <v>1915</v>
      </c>
      <c r="BC403" s="77">
        <f t="shared" si="74"/>
        <v>0</v>
      </c>
      <c r="BD403" s="77">
        <f t="shared" si="74"/>
        <v>0</v>
      </c>
      <c r="BE403" s="77">
        <f t="shared" si="74"/>
        <v>2933.4999990000001</v>
      </c>
      <c r="BF403" s="77">
        <f t="shared" si="74"/>
        <v>0</v>
      </c>
      <c r="BG403" s="77">
        <f t="shared" si="74"/>
        <v>1955.6666660000001</v>
      </c>
      <c r="BH403" s="77">
        <f t="shared" si="74"/>
        <v>977.83333300000004</v>
      </c>
      <c r="BI403" s="77">
        <f t="shared" si="74"/>
        <v>977.83333300000004</v>
      </c>
      <c r="BJ403" s="77">
        <f t="shared" si="74"/>
        <v>12351.32135744</v>
      </c>
      <c r="BK403" s="77">
        <f t="shared" si="74"/>
        <v>0</v>
      </c>
      <c r="BL403" s="77">
        <f t="shared" si="74"/>
        <v>5687.9516685600001</v>
      </c>
      <c r="BM403" s="77">
        <f t="shared" si="74"/>
        <v>0</v>
      </c>
      <c r="BN403" s="77">
        <f t="shared" si="74"/>
        <v>10000</v>
      </c>
      <c r="BO403" s="77">
        <f t="shared" si="74"/>
        <v>0</v>
      </c>
      <c r="BP403" s="77">
        <f t="shared" si="74"/>
        <v>0</v>
      </c>
      <c r="BQ403" s="77">
        <f t="shared" si="74"/>
        <v>0</v>
      </c>
      <c r="BR403" s="77">
        <f t="shared" si="74"/>
        <v>0</v>
      </c>
      <c r="BS403" s="77">
        <f t="shared" si="74"/>
        <v>6464.4406019999997</v>
      </c>
      <c r="BT403" s="77">
        <f t="shared" ref="BT403:DV403" si="75">+SUM(BT401:BT402)</f>
        <v>0</v>
      </c>
      <c r="BU403" s="77">
        <f t="shared" si="75"/>
        <v>0</v>
      </c>
      <c r="BV403" s="77">
        <f t="shared" si="75"/>
        <v>0</v>
      </c>
      <c r="BW403" s="77">
        <f t="shared" si="75"/>
        <v>18789</v>
      </c>
      <c r="BX403" s="77">
        <f t="shared" si="75"/>
        <v>0</v>
      </c>
      <c r="BY403" s="77">
        <f t="shared" si="75"/>
        <v>6464.4406010000002</v>
      </c>
      <c r="BZ403" s="77">
        <f t="shared" si="75"/>
        <v>0</v>
      </c>
      <c r="CA403" s="77">
        <f t="shared" si="75"/>
        <v>0</v>
      </c>
      <c r="CB403" s="77">
        <f t="shared" si="75"/>
        <v>0</v>
      </c>
      <c r="CC403" s="77">
        <f t="shared" si="75"/>
        <v>0</v>
      </c>
      <c r="CD403" s="77">
        <f t="shared" si="75"/>
        <v>0</v>
      </c>
      <c r="CE403" s="77">
        <f t="shared" si="75"/>
        <v>0</v>
      </c>
      <c r="CF403" s="77">
        <f t="shared" si="75"/>
        <v>3000</v>
      </c>
      <c r="CG403" s="77">
        <f t="shared" si="75"/>
        <v>0</v>
      </c>
      <c r="CH403" s="77">
        <f t="shared" si="75"/>
        <v>0</v>
      </c>
      <c r="CI403" s="77">
        <f t="shared" si="75"/>
        <v>0</v>
      </c>
      <c r="CJ403" s="77">
        <f t="shared" si="75"/>
        <v>1700</v>
      </c>
      <c r="CK403" s="77">
        <f t="shared" si="75"/>
        <v>0</v>
      </c>
      <c r="CL403" s="77">
        <f t="shared" si="75"/>
        <v>0</v>
      </c>
      <c r="CM403" s="77">
        <f t="shared" si="75"/>
        <v>0</v>
      </c>
      <c r="CN403" s="77">
        <f t="shared" si="75"/>
        <v>11000</v>
      </c>
      <c r="CO403" s="77">
        <f t="shared" si="75"/>
        <v>0</v>
      </c>
      <c r="CP403" s="77">
        <f t="shared" si="75"/>
        <v>0</v>
      </c>
      <c r="CQ403" s="77">
        <f t="shared" si="75"/>
        <v>0</v>
      </c>
      <c r="CR403" s="77">
        <f t="shared" si="75"/>
        <v>0</v>
      </c>
      <c r="CS403" s="77">
        <f t="shared" si="75"/>
        <v>0</v>
      </c>
      <c r="CT403" s="77">
        <f t="shared" si="75"/>
        <v>563</v>
      </c>
      <c r="CU403" s="77">
        <f t="shared" si="75"/>
        <v>0</v>
      </c>
      <c r="CV403" s="77">
        <f t="shared" si="75"/>
        <v>5264.3585750000002</v>
      </c>
      <c r="CW403" s="77">
        <f t="shared" si="75"/>
        <v>0</v>
      </c>
      <c r="CX403" s="77">
        <f t="shared" si="75"/>
        <v>0</v>
      </c>
      <c r="CY403" s="77">
        <f t="shared" si="75"/>
        <v>0</v>
      </c>
      <c r="CZ403" s="77">
        <f t="shared" si="75"/>
        <v>0</v>
      </c>
      <c r="DA403" s="77">
        <f t="shared" si="75"/>
        <v>0</v>
      </c>
      <c r="DB403" s="77">
        <f t="shared" si="75"/>
        <v>0</v>
      </c>
      <c r="DC403" s="77">
        <f t="shared" si="75"/>
        <v>0</v>
      </c>
      <c r="DD403" s="77">
        <f t="shared" si="75"/>
        <v>0</v>
      </c>
      <c r="DE403" s="77">
        <f t="shared" si="75"/>
        <v>0</v>
      </c>
      <c r="DF403" s="77">
        <f t="shared" si="75"/>
        <v>13767.641425</v>
      </c>
      <c r="DG403" s="77">
        <f t="shared" si="75"/>
        <v>0</v>
      </c>
      <c r="DH403" s="77">
        <f t="shared" si="75"/>
        <v>0</v>
      </c>
      <c r="DI403" s="77">
        <f t="shared" si="75"/>
        <v>0</v>
      </c>
      <c r="DJ403" s="77">
        <f t="shared" si="75"/>
        <v>28143.941225000002</v>
      </c>
      <c r="DK403" s="77">
        <f t="shared" si="75"/>
        <v>0</v>
      </c>
      <c r="DL403" s="77">
        <f t="shared" si="75"/>
        <v>0</v>
      </c>
      <c r="DM403" s="77">
        <f t="shared" si="75"/>
        <v>0</v>
      </c>
      <c r="DN403" s="77">
        <f t="shared" si="75"/>
        <v>0</v>
      </c>
      <c r="DO403" s="77">
        <f t="shared" si="75"/>
        <v>0</v>
      </c>
      <c r="DP403" s="77">
        <f t="shared" si="75"/>
        <v>10988.259461000001</v>
      </c>
      <c r="DQ403" s="77">
        <f t="shared" si="75"/>
        <v>0</v>
      </c>
      <c r="DR403" s="77">
        <f t="shared" si="75"/>
        <v>0</v>
      </c>
      <c r="DS403" s="77">
        <f t="shared" si="75"/>
        <v>10000</v>
      </c>
      <c r="DT403" s="77">
        <f t="shared" si="75"/>
        <v>0</v>
      </c>
      <c r="DU403" s="77">
        <f t="shared" si="75"/>
        <v>0</v>
      </c>
      <c r="DV403" s="77">
        <f t="shared" si="75"/>
        <v>8000</v>
      </c>
      <c r="DW403" s="42">
        <f>SUM(G403:DV403)</f>
        <v>259418.64928790802</v>
      </c>
      <c r="DX403" s="78"/>
      <c r="DY403" s="78"/>
    </row>
    <row r="404" spans="5:152" ht="14.25" x14ac:dyDescent="0.2">
      <c r="AQ404" s="71"/>
      <c r="BG404" s="435"/>
      <c r="BH404" s="435"/>
      <c r="DW404" s="287"/>
      <c r="DX404" s="59"/>
      <c r="DY404" s="310"/>
    </row>
    <row r="405" spans="5:152" x14ac:dyDescent="0.2">
      <c r="E405" s="51" t="s">
        <v>217</v>
      </c>
      <c r="G405" s="43">
        <f>+G383+G382</f>
        <v>0</v>
      </c>
      <c r="H405" s="43">
        <f t="shared" ref="H405:BS405" si="76">+H383+H382</f>
        <v>0</v>
      </c>
      <c r="I405" s="43">
        <f t="shared" si="76"/>
        <v>0</v>
      </c>
      <c r="J405" s="43">
        <f t="shared" si="76"/>
        <v>0</v>
      </c>
      <c r="K405" s="43">
        <f t="shared" si="76"/>
        <v>0</v>
      </c>
      <c r="L405" s="43">
        <f t="shared" si="76"/>
        <v>0</v>
      </c>
      <c r="M405" s="43">
        <f t="shared" si="76"/>
        <v>0</v>
      </c>
      <c r="N405" s="43">
        <f t="shared" si="76"/>
        <v>0</v>
      </c>
      <c r="O405" s="43">
        <f t="shared" si="76"/>
        <v>0</v>
      </c>
      <c r="P405" s="43">
        <f t="shared" si="76"/>
        <v>0</v>
      </c>
      <c r="Q405" s="43">
        <f t="shared" si="76"/>
        <v>0</v>
      </c>
      <c r="R405" s="43">
        <f t="shared" si="76"/>
        <v>0</v>
      </c>
      <c r="S405" s="43">
        <f t="shared" si="76"/>
        <v>0</v>
      </c>
      <c r="T405" s="43">
        <f t="shared" si="76"/>
        <v>0</v>
      </c>
      <c r="U405" s="43">
        <f t="shared" si="76"/>
        <v>0</v>
      </c>
      <c r="V405" s="43">
        <f t="shared" si="76"/>
        <v>0</v>
      </c>
      <c r="W405" s="43">
        <f t="shared" si="76"/>
        <v>0</v>
      </c>
      <c r="X405" s="43">
        <f t="shared" si="76"/>
        <v>5174.7461869999997</v>
      </c>
      <c r="Y405" s="43">
        <f t="shared" si="76"/>
        <v>697.38541599999996</v>
      </c>
      <c r="Z405" s="43">
        <f t="shared" si="76"/>
        <v>283.263848</v>
      </c>
      <c r="AA405" s="43">
        <f t="shared" si="76"/>
        <v>1084.7712060000001</v>
      </c>
      <c r="AB405" s="43">
        <f t="shared" si="76"/>
        <v>1209.734148</v>
      </c>
      <c r="AC405" s="43">
        <f t="shared" si="76"/>
        <v>0</v>
      </c>
      <c r="AD405" s="43">
        <f t="shared" si="76"/>
        <v>1.774178</v>
      </c>
      <c r="AE405" s="43">
        <f t="shared" si="76"/>
        <v>1110.0507152</v>
      </c>
      <c r="AF405" s="43">
        <f t="shared" si="76"/>
        <v>329.17713549999996</v>
      </c>
      <c r="AG405" s="43">
        <f t="shared" si="76"/>
        <v>1675.6301420200002</v>
      </c>
      <c r="AH405" s="43">
        <f t="shared" si="76"/>
        <v>370.48395934000001</v>
      </c>
      <c r="AI405" s="43">
        <f t="shared" si="76"/>
        <v>2508.8267756599998</v>
      </c>
      <c r="AJ405" s="43">
        <f t="shared" si="76"/>
        <v>124.901376</v>
      </c>
      <c r="AK405" s="43">
        <f t="shared" si="76"/>
        <v>6433.5763781799997</v>
      </c>
      <c r="AL405" s="43">
        <f t="shared" si="76"/>
        <v>113.80489534</v>
      </c>
      <c r="AM405" s="43">
        <f t="shared" si="76"/>
        <v>3367.8104639999997</v>
      </c>
      <c r="AN405" s="43">
        <f t="shared" si="76"/>
        <v>1244.545627</v>
      </c>
      <c r="AO405" s="43">
        <f t="shared" si="76"/>
        <v>3281.4109439999997</v>
      </c>
      <c r="AP405" s="43">
        <f t="shared" si="76"/>
        <v>3008.6155254999999</v>
      </c>
      <c r="AQ405" s="43">
        <f t="shared" si="76"/>
        <v>1536.0230929999998</v>
      </c>
      <c r="AR405" s="43">
        <f t="shared" si="76"/>
        <v>1084.412783</v>
      </c>
      <c r="AS405" s="43">
        <f t="shared" si="76"/>
        <v>1486.6483180000002</v>
      </c>
      <c r="AT405" s="43">
        <f t="shared" si="76"/>
        <v>1113.4184620000001</v>
      </c>
      <c r="AU405" s="43">
        <f t="shared" si="76"/>
        <v>702.32316059999994</v>
      </c>
      <c r="AV405" s="43">
        <f t="shared" si="76"/>
        <v>56.407322000000001</v>
      </c>
      <c r="AW405" s="43">
        <f t="shared" si="76"/>
        <v>44.777786999999996</v>
      </c>
      <c r="AX405" s="43">
        <f t="shared" si="76"/>
        <v>889.96613300000013</v>
      </c>
      <c r="AY405" s="43">
        <f t="shared" si="76"/>
        <v>1691.4276457500005</v>
      </c>
      <c r="AZ405" s="43">
        <f t="shared" si="76"/>
        <v>900.48429299999998</v>
      </c>
      <c r="BA405" s="43">
        <f t="shared" si="76"/>
        <v>32.700806</v>
      </c>
      <c r="BB405" s="43">
        <f t="shared" si="76"/>
        <v>3902.8372335733493</v>
      </c>
      <c r="BC405" s="43">
        <f t="shared" si="76"/>
        <v>0</v>
      </c>
      <c r="BD405" s="43">
        <f t="shared" si="76"/>
        <v>573.03771900000004</v>
      </c>
      <c r="BE405" s="43">
        <f t="shared" si="76"/>
        <v>2204.6900860000001</v>
      </c>
      <c r="BF405" s="43">
        <f t="shared" si="76"/>
        <v>4047.7821119999999</v>
      </c>
      <c r="BG405" s="43">
        <f t="shared" si="76"/>
        <v>1978.710791</v>
      </c>
      <c r="BH405" s="43">
        <f t="shared" si="76"/>
        <v>1911.2572459999999</v>
      </c>
      <c r="BI405" s="43">
        <f t="shared" si="76"/>
        <v>1201.676645</v>
      </c>
      <c r="BJ405" s="43">
        <f t="shared" si="76"/>
        <v>5431.4055439999993</v>
      </c>
      <c r="BK405" s="43">
        <f t="shared" si="76"/>
        <v>301.425431</v>
      </c>
      <c r="BL405" s="43">
        <f t="shared" si="76"/>
        <v>1749.6726078379138</v>
      </c>
      <c r="BM405" s="43">
        <f t="shared" si="76"/>
        <v>1178.970943</v>
      </c>
      <c r="BN405" s="43">
        <f t="shared" si="76"/>
        <v>7315.303148</v>
      </c>
      <c r="BO405" s="43">
        <f t="shared" si="76"/>
        <v>2686.1321215799999</v>
      </c>
      <c r="BP405" s="43">
        <f t="shared" si="76"/>
        <v>3187.1737112400001</v>
      </c>
      <c r="BQ405" s="43">
        <f t="shared" si="76"/>
        <v>1511.8370180000002</v>
      </c>
      <c r="BR405" s="43">
        <f t="shared" si="76"/>
        <v>1177.0694046200001</v>
      </c>
      <c r="BS405" s="43">
        <f t="shared" si="76"/>
        <v>327.51360199999999</v>
      </c>
      <c r="BT405" s="43">
        <f t="shared" ref="BT405:DV405" si="77">+BT383+BT382</f>
        <v>0</v>
      </c>
      <c r="BU405" s="43">
        <f t="shared" si="77"/>
        <v>2645.76310362</v>
      </c>
      <c r="BV405" s="43">
        <f t="shared" si="77"/>
        <v>1700.1820392300001</v>
      </c>
      <c r="BW405" s="43">
        <f t="shared" si="77"/>
        <v>149.84839700000001</v>
      </c>
      <c r="BX405" s="43">
        <f t="shared" si="77"/>
        <v>1132.9005099999999</v>
      </c>
      <c r="BY405" s="43">
        <f t="shared" si="77"/>
        <v>431.978387</v>
      </c>
      <c r="BZ405" s="43">
        <f t="shared" si="77"/>
        <v>1749.044942</v>
      </c>
      <c r="CA405" s="43">
        <f t="shared" si="77"/>
        <v>0</v>
      </c>
      <c r="CB405" s="43">
        <f t="shared" si="77"/>
        <v>638.85336700000005</v>
      </c>
      <c r="CC405" s="43">
        <f t="shared" si="77"/>
        <v>1007.351437</v>
      </c>
      <c r="CD405" s="43">
        <f t="shared" si="77"/>
        <v>1191.807773</v>
      </c>
      <c r="CE405" s="43">
        <f t="shared" si="77"/>
        <v>1865.7968851099999</v>
      </c>
      <c r="CF405" s="43">
        <f t="shared" si="77"/>
        <v>917.81090889000006</v>
      </c>
      <c r="CG405" s="43">
        <f t="shared" si="77"/>
        <v>1260.7581769999999</v>
      </c>
      <c r="CH405" s="43">
        <f t="shared" si="77"/>
        <v>713.38814500000001</v>
      </c>
      <c r="CI405" s="43">
        <f t="shared" si="77"/>
        <v>1858.2313140000001</v>
      </c>
      <c r="CJ405" s="43">
        <f t="shared" si="77"/>
        <v>1228.8653879999999</v>
      </c>
      <c r="CK405" s="43">
        <f t="shared" si="77"/>
        <v>1111.6229699999999</v>
      </c>
      <c r="CL405" s="43">
        <f t="shared" si="77"/>
        <v>2007.6808510000001</v>
      </c>
      <c r="CM405" s="43">
        <f t="shared" si="77"/>
        <v>32.294866999999996</v>
      </c>
      <c r="CN405" s="43">
        <f t="shared" si="77"/>
        <v>1982.8639249999999</v>
      </c>
      <c r="CO405" s="43">
        <f t="shared" si="77"/>
        <v>479.356673</v>
      </c>
      <c r="CP405" s="43">
        <f t="shared" si="77"/>
        <v>2328.236214</v>
      </c>
      <c r="CQ405" s="43">
        <f t="shared" si="77"/>
        <v>192.35630399999999</v>
      </c>
      <c r="CR405" s="43">
        <f t="shared" si="77"/>
        <v>3097.9205430000002</v>
      </c>
      <c r="CS405" s="43">
        <f t="shared" si="77"/>
        <v>4302.6122269999996</v>
      </c>
      <c r="CT405" s="43">
        <f t="shared" si="77"/>
        <v>461.01086500000002</v>
      </c>
      <c r="CU405" s="43">
        <f t="shared" si="77"/>
        <v>433.74910800000032</v>
      </c>
      <c r="CV405" s="43">
        <f t="shared" si="77"/>
        <v>2215.057127</v>
      </c>
      <c r="CW405" s="43">
        <f t="shared" si="77"/>
        <v>110.75746100000001</v>
      </c>
      <c r="CX405" s="43">
        <f t="shared" si="77"/>
        <v>1766.289014</v>
      </c>
      <c r="CY405" s="43">
        <f t="shared" si="77"/>
        <v>113.6492760000003</v>
      </c>
      <c r="CZ405" s="43">
        <f t="shared" si="77"/>
        <v>140.70693499999999</v>
      </c>
      <c r="DA405" s="43">
        <f t="shared" si="77"/>
        <v>1417.3021819999999</v>
      </c>
      <c r="DB405" s="43">
        <f t="shared" si="77"/>
        <v>122.791279</v>
      </c>
      <c r="DC405" s="43">
        <f t="shared" si="77"/>
        <v>1415.9580449999999</v>
      </c>
      <c r="DD405" s="43">
        <f t="shared" si="77"/>
        <v>432.32234500000004</v>
      </c>
      <c r="DE405" s="43">
        <f t="shared" si="77"/>
        <v>1180.3660169999998</v>
      </c>
      <c r="DF405" s="43">
        <f t="shared" si="77"/>
        <v>4062.569437255554</v>
      </c>
      <c r="DG405" s="43">
        <f t="shared" si="77"/>
        <v>1553.1398722538565</v>
      </c>
      <c r="DH405" s="43">
        <f t="shared" si="77"/>
        <v>2085.8592468514712</v>
      </c>
      <c r="DI405" s="43">
        <f t="shared" si="77"/>
        <v>2080.7195537947614</v>
      </c>
      <c r="DJ405" s="43">
        <f t="shared" si="77"/>
        <v>8651.4610016233346</v>
      </c>
      <c r="DK405" s="43">
        <f t="shared" si="77"/>
        <v>4841.4019283552316</v>
      </c>
      <c r="DL405" s="43">
        <f t="shared" si="77"/>
        <v>3189.348768953515</v>
      </c>
      <c r="DM405" s="43">
        <f t="shared" si="77"/>
        <v>7762.8325271656367</v>
      </c>
      <c r="DN405" s="43">
        <f t="shared" si="77"/>
        <v>5313.7992319467712</v>
      </c>
      <c r="DO405" s="43">
        <f t="shared" si="77"/>
        <v>4541.7671828557277</v>
      </c>
      <c r="DP405" s="43">
        <f t="shared" si="77"/>
        <v>3174.1205808250256</v>
      </c>
      <c r="DQ405" s="43">
        <f t="shared" si="77"/>
        <v>3302.6183578250257</v>
      </c>
      <c r="DR405" s="43">
        <f t="shared" si="77"/>
        <v>2455.6252851249724</v>
      </c>
      <c r="DS405" s="43">
        <f t="shared" si="77"/>
        <v>2415.2800631132563</v>
      </c>
      <c r="DT405" s="43">
        <f t="shared" si="77"/>
        <v>3036.4090083549631</v>
      </c>
      <c r="DU405" s="43">
        <f t="shared" si="77"/>
        <v>1248.3068996073393</v>
      </c>
      <c r="DV405" s="43">
        <f t="shared" si="77"/>
        <v>1965.5968182103252</v>
      </c>
      <c r="DW405" s="42">
        <f>SUM(G405:DV405)</f>
        <v>187763.93485390802</v>
      </c>
      <c r="DZ405" s="51"/>
      <c r="EA405" s="51"/>
      <c r="EB405" s="51"/>
      <c r="EC405" s="51"/>
    </row>
    <row r="406" spans="5:152" x14ac:dyDescent="0.2">
      <c r="E406" s="51" t="s">
        <v>218</v>
      </c>
      <c r="G406" s="43">
        <f>G384</f>
        <v>5936.4696560399998</v>
      </c>
      <c r="H406" s="43">
        <f t="shared" ref="H406:BS406" si="78">H384</f>
        <v>8073.4380979605548</v>
      </c>
      <c r="I406" s="43">
        <f t="shared" si="78"/>
        <v>0</v>
      </c>
      <c r="J406" s="43">
        <f t="shared" si="78"/>
        <v>0</v>
      </c>
      <c r="K406" s="43">
        <f t="shared" si="78"/>
        <v>0</v>
      </c>
      <c r="L406" s="43">
        <f t="shared" si="78"/>
        <v>0</v>
      </c>
      <c r="M406" s="43">
        <f t="shared" si="78"/>
        <v>0</v>
      </c>
      <c r="N406" s="43">
        <f t="shared" si="78"/>
        <v>0</v>
      </c>
      <c r="O406" s="43">
        <f t="shared" si="78"/>
        <v>0</v>
      </c>
      <c r="P406" s="43">
        <f t="shared" si="78"/>
        <v>0</v>
      </c>
      <c r="Q406" s="43">
        <f t="shared" si="78"/>
        <v>62.562000000000005</v>
      </c>
      <c r="R406" s="43">
        <f t="shared" si="78"/>
        <v>110.505015</v>
      </c>
      <c r="S406" s="43">
        <f t="shared" si="78"/>
        <v>26.798509549999999</v>
      </c>
      <c r="T406" s="43">
        <f t="shared" si="78"/>
        <v>77.325733159999999</v>
      </c>
      <c r="U406" s="43">
        <f t="shared" si="78"/>
        <v>56.10479394</v>
      </c>
      <c r="V406" s="43">
        <f t="shared" si="78"/>
        <v>302.42249038</v>
      </c>
      <c r="W406" s="43">
        <f t="shared" si="78"/>
        <v>276.35894181999998</v>
      </c>
      <c r="X406" s="43">
        <f t="shared" si="78"/>
        <v>57.619665740000002</v>
      </c>
      <c r="Y406" s="43">
        <f t="shared" si="78"/>
        <v>1561.3355779999999</v>
      </c>
      <c r="Z406" s="43">
        <f t="shared" si="78"/>
        <v>116.988809</v>
      </c>
      <c r="AA406" s="43">
        <f t="shared" si="78"/>
        <v>68.417507999999998</v>
      </c>
      <c r="AB406" s="43">
        <f t="shared" si="78"/>
        <v>165.24008500000002</v>
      </c>
      <c r="AC406" s="43">
        <f t="shared" si="78"/>
        <v>1549.0139270000002</v>
      </c>
      <c r="AD406" s="43">
        <f t="shared" si="78"/>
        <v>908.12394799999993</v>
      </c>
      <c r="AE406" s="43">
        <f t="shared" si="78"/>
        <v>1607.1988650000001</v>
      </c>
      <c r="AF406" s="43">
        <f t="shared" si="78"/>
        <v>1064.11171214</v>
      </c>
      <c r="AG406" s="43">
        <f t="shared" si="78"/>
        <v>1388.0209000000002</v>
      </c>
      <c r="AH406" s="43">
        <f t="shared" si="78"/>
        <v>2059.0455574499997</v>
      </c>
      <c r="AI406" s="43">
        <f t="shared" si="78"/>
        <v>2567.0184450199999</v>
      </c>
      <c r="AJ406" s="43">
        <f t="shared" si="78"/>
        <v>188.52719400000001</v>
      </c>
      <c r="AK406" s="43">
        <f t="shared" si="78"/>
        <v>62.619261999999999</v>
      </c>
      <c r="AL406" s="43">
        <f t="shared" si="78"/>
        <v>2179.9373832199999</v>
      </c>
      <c r="AM406" s="43">
        <f t="shared" si="78"/>
        <v>1134.57826275</v>
      </c>
      <c r="AN406" s="43">
        <f t="shared" si="78"/>
        <v>772.108969</v>
      </c>
      <c r="AO406" s="43">
        <f t="shared" si="78"/>
        <v>129.65218200000001</v>
      </c>
      <c r="AP406" s="43">
        <f t="shared" si="78"/>
        <v>1245.751154</v>
      </c>
      <c r="AQ406" s="43">
        <f t="shared" si="78"/>
        <v>125.84849699999999</v>
      </c>
      <c r="AR406" s="43">
        <f t="shared" si="78"/>
        <v>43.398527999999999</v>
      </c>
      <c r="AS406" s="43">
        <f t="shared" si="78"/>
        <v>69.517957999999993</v>
      </c>
      <c r="AT406" s="43">
        <f t="shared" si="78"/>
        <v>1290.8139639999999</v>
      </c>
      <c r="AU406" s="43">
        <f t="shared" si="78"/>
        <v>698.89815640000006</v>
      </c>
      <c r="AV406" s="43">
        <f t="shared" si="78"/>
        <v>911.54546899999991</v>
      </c>
      <c r="AW406" s="43">
        <f t="shared" si="78"/>
        <v>560.91365499999995</v>
      </c>
      <c r="AX406" s="43">
        <f t="shared" si="78"/>
        <v>260.70896299999998</v>
      </c>
      <c r="AY406" s="43">
        <f t="shared" si="78"/>
        <v>1138.5942964999999</v>
      </c>
      <c r="AZ406" s="43">
        <f t="shared" si="78"/>
        <v>254.15233899999998</v>
      </c>
      <c r="BA406" s="43">
        <f t="shared" si="78"/>
        <v>807.02449100000001</v>
      </c>
      <c r="BB406" s="43">
        <f t="shared" si="78"/>
        <v>1732.6149431666513</v>
      </c>
      <c r="BC406" s="43">
        <f t="shared" si="78"/>
        <v>11.25</v>
      </c>
      <c r="BD406" s="43">
        <f t="shared" si="78"/>
        <v>591.99158699999998</v>
      </c>
      <c r="BE406" s="43">
        <f t="shared" si="78"/>
        <v>505.82464900000002</v>
      </c>
      <c r="BF406" s="43">
        <f t="shared" si="78"/>
        <v>319.81127000000004</v>
      </c>
      <c r="BG406" s="43">
        <f t="shared" si="78"/>
        <v>1189.426234</v>
      </c>
      <c r="BH406" s="43">
        <f t="shared" si="78"/>
        <v>1008.3090530000002</v>
      </c>
      <c r="BI406" s="43">
        <f t="shared" si="78"/>
        <v>160.47203500000001</v>
      </c>
      <c r="BJ406" s="43">
        <f t="shared" si="78"/>
        <v>98.841062999999991</v>
      </c>
      <c r="BK406" s="43">
        <f t="shared" si="78"/>
        <v>107.776082</v>
      </c>
      <c r="BL406" s="43">
        <f t="shared" si="78"/>
        <v>377.63826516208599</v>
      </c>
      <c r="BM406" s="43">
        <f t="shared" si="78"/>
        <v>242.67404099999999</v>
      </c>
      <c r="BN406" s="43">
        <f t="shared" si="78"/>
        <v>352.00981300000001</v>
      </c>
      <c r="BO406" s="43">
        <f t="shared" si="78"/>
        <v>656.70749499999999</v>
      </c>
      <c r="BP406" s="43">
        <f t="shared" si="78"/>
        <v>260.176244</v>
      </c>
      <c r="BQ406" s="43">
        <f t="shared" si="78"/>
        <v>95.061228999999997</v>
      </c>
      <c r="BR406" s="43">
        <f t="shared" si="78"/>
        <v>179.66163999999998</v>
      </c>
      <c r="BS406" s="43">
        <f t="shared" si="78"/>
        <v>623.22398099999998</v>
      </c>
      <c r="BT406" s="43">
        <f t="shared" ref="BT406:DV406" si="79">BT384</f>
        <v>365.99358800000005</v>
      </c>
      <c r="BU406" s="43">
        <f t="shared" si="79"/>
        <v>248.774674</v>
      </c>
      <c r="BV406" s="43">
        <f t="shared" si="79"/>
        <v>285.11382800000001</v>
      </c>
      <c r="BW406" s="43">
        <f t="shared" si="79"/>
        <v>488.99602599999997</v>
      </c>
      <c r="BX406" s="43">
        <f t="shared" si="79"/>
        <v>665.40385400000002</v>
      </c>
      <c r="BY406" s="43">
        <f t="shared" si="79"/>
        <v>232.63294399999998</v>
      </c>
      <c r="BZ406" s="43">
        <f t="shared" si="79"/>
        <v>371.424916</v>
      </c>
      <c r="CA406" s="43">
        <f t="shared" si="79"/>
        <v>251.62536399999999</v>
      </c>
      <c r="CB406" s="43">
        <f t="shared" si="79"/>
        <v>110.64315999999999</v>
      </c>
      <c r="CC406" s="43">
        <f t="shared" si="79"/>
        <v>186.13212700000003</v>
      </c>
      <c r="CD406" s="43">
        <f t="shared" si="79"/>
        <v>326.78438900000003</v>
      </c>
      <c r="CE406" s="43">
        <f t="shared" si="79"/>
        <v>178.98802800000001</v>
      </c>
      <c r="CF406" s="43">
        <f t="shared" si="79"/>
        <v>478.97282599999994</v>
      </c>
      <c r="CG406" s="43">
        <f t="shared" si="79"/>
        <v>236.03612600000002</v>
      </c>
      <c r="CH406" s="43">
        <f t="shared" si="79"/>
        <v>244.99884304</v>
      </c>
      <c r="CI406" s="43">
        <f t="shared" si="79"/>
        <v>145.271467</v>
      </c>
      <c r="CJ406" s="43">
        <f t="shared" si="79"/>
        <v>417.37904000000003</v>
      </c>
      <c r="CK406" s="43">
        <f t="shared" si="79"/>
        <v>159.902919</v>
      </c>
      <c r="CL406" s="43">
        <f t="shared" si="79"/>
        <v>290.84369100000004</v>
      </c>
      <c r="CM406" s="43">
        <f t="shared" si="79"/>
        <v>159.728486</v>
      </c>
      <c r="CN406" s="43">
        <f t="shared" si="79"/>
        <v>58.59704</v>
      </c>
      <c r="CO406" s="43">
        <f t="shared" si="79"/>
        <v>179.13269599999998</v>
      </c>
      <c r="CP406" s="43">
        <f t="shared" si="79"/>
        <v>16.65296</v>
      </c>
      <c r="CQ406" s="43">
        <f t="shared" si="79"/>
        <v>0</v>
      </c>
      <c r="CR406" s="43">
        <f t="shared" si="79"/>
        <v>108.852881</v>
      </c>
      <c r="CS406" s="43">
        <f t="shared" si="79"/>
        <v>15.867988</v>
      </c>
      <c r="CT406" s="43">
        <f t="shared" si="79"/>
        <v>64.242107000000004</v>
      </c>
      <c r="CU406" s="43">
        <f t="shared" si="79"/>
        <v>1.1581330000000001</v>
      </c>
      <c r="CV406" s="43">
        <f t="shared" si="79"/>
        <v>115.31578300000001</v>
      </c>
      <c r="CW406" s="43">
        <f t="shared" si="79"/>
        <v>4.0331450000000002</v>
      </c>
      <c r="CX406" s="43">
        <f t="shared" si="79"/>
        <v>270.246735</v>
      </c>
      <c r="CY406" s="43">
        <f t="shared" si="79"/>
        <v>30</v>
      </c>
      <c r="CZ406" s="43">
        <f t="shared" si="79"/>
        <v>6.1</v>
      </c>
      <c r="DA406" s="43">
        <f t="shared" si="79"/>
        <v>35.384901999999997</v>
      </c>
      <c r="DB406" s="43">
        <f t="shared" si="79"/>
        <v>41.484717000000003</v>
      </c>
      <c r="DC406" s="43">
        <f t="shared" si="79"/>
        <v>35.076214</v>
      </c>
      <c r="DD406" s="43">
        <f t="shared" si="79"/>
        <v>447.50590399999999</v>
      </c>
      <c r="DE406" s="43">
        <f t="shared" si="79"/>
        <v>61.439661000000001</v>
      </c>
      <c r="DF406" s="43">
        <f t="shared" si="79"/>
        <v>605.11044319903999</v>
      </c>
      <c r="DG406" s="43">
        <f t="shared" si="79"/>
        <v>476.42484719903996</v>
      </c>
      <c r="DH406" s="43">
        <f t="shared" si="79"/>
        <v>382.92744157681778</v>
      </c>
      <c r="DI406" s="43">
        <f t="shared" si="79"/>
        <v>576.59793673237334</v>
      </c>
      <c r="DJ406" s="43">
        <f t="shared" si="79"/>
        <v>712.02329303333329</v>
      </c>
      <c r="DK406" s="43">
        <f t="shared" si="79"/>
        <v>792.78581753333344</v>
      </c>
      <c r="DL406" s="43">
        <f t="shared" si="79"/>
        <v>792.78581753333344</v>
      </c>
      <c r="DM406" s="43">
        <f t="shared" si="79"/>
        <v>792.78581753333344</v>
      </c>
      <c r="DN406" s="43">
        <f t="shared" si="79"/>
        <v>794.43281713332431</v>
      </c>
      <c r="DO406" s="43">
        <f t="shared" si="79"/>
        <v>831.97513353333329</v>
      </c>
      <c r="DP406" s="43">
        <f t="shared" si="79"/>
        <v>81.878186333333417</v>
      </c>
      <c r="DQ406" s="43">
        <f t="shared" si="79"/>
        <v>103.29646088888801</v>
      </c>
      <c r="DR406" s="43">
        <f t="shared" si="79"/>
        <v>0</v>
      </c>
      <c r="DS406" s="43">
        <f t="shared" si="79"/>
        <v>14.960689999999589</v>
      </c>
      <c r="DT406" s="43">
        <f t="shared" si="79"/>
        <v>69.234626944445012</v>
      </c>
      <c r="DU406" s="43">
        <f t="shared" si="79"/>
        <v>3180.4234977015599</v>
      </c>
      <c r="DV406" s="43">
        <f t="shared" si="79"/>
        <v>0</v>
      </c>
      <c r="DW406" s="42">
        <f>SUM(G406:DV406)</f>
        <v>65966.560575314725</v>
      </c>
      <c r="DX406" s="73"/>
      <c r="DZ406" s="51"/>
      <c r="EA406" s="51"/>
      <c r="EB406" s="51"/>
      <c r="EC406" s="51"/>
    </row>
    <row r="407" spans="5:152" x14ac:dyDescent="0.2">
      <c r="E407" s="49" t="s">
        <v>219</v>
      </c>
      <c r="F407" s="49"/>
      <c r="G407" s="77">
        <f>+SUM(G405:G406)</f>
        <v>5936.4696560399998</v>
      </c>
      <c r="H407" s="77">
        <f t="shared" ref="H407:BS407" si="80">+SUM(H405:H406)</f>
        <v>8073.4380979605548</v>
      </c>
      <c r="I407" s="77">
        <f t="shared" si="80"/>
        <v>0</v>
      </c>
      <c r="J407" s="77">
        <f t="shared" si="80"/>
        <v>0</v>
      </c>
      <c r="K407" s="77">
        <f t="shared" si="80"/>
        <v>0</v>
      </c>
      <c r="L407" s="77">
        <f t="shared" si="80"/>
        <v>0</v>
      </c>
      <c r="M407" s="77">
        <f t="shared" si="80"/>
        <v>0</v>
      </c>
      <c r="N407" s="77">
        <f t="shared" si="80"/>
        <v>0</v>
      </c>
      <c r="O407" s="77">
        <f t="shared" si="80"/>
        <v>0</v>
      </c>
      <c r="P407" s="77">
        <f t="shared" si="80"/>
        <v>0</v>
      </c>
      <c r="Q407" s="77">
        <f t="shared" si="80"/>
        <v>62.562000000000005</v>
      </c>
      <c r="R407" s="77">
        <f t="shared" si="80"/>
        <v>110.505015</v>
      </c>
      <c r="S407" s="77">
        <f t="shared" si="80"/>
        <v>26.798509549999999</v>
      </c>
      <c r="T407" s="77">
        <f t="shared" si="80"/>
        <v>77.325733159999999</v>
      </c>
      <c r="U407" s="77">
        <f t="shared" si="80"/>
        <v>56.10479394</v>
      </c>
      <c r="V407" s="77">
        <f t="shared" si="80"/>
        <v>302.42249038</v>
      </c>
      <c r="W407" s="77">
        <f t="shared" si="80"/>
        <v>276.35894181999998</v>
      </c>
      <c r="X407" s="77">
        <f t="shared" si="80"/>
        <v>5232.3658527399994</v>
      </c>
      <c r="Y407" s="77">
        <f t="shared" si="80"/>
        <v>2258.7209939999998</v>
      </c>
      <c r="Z407" s="77">
        <f t="shared" si="80"/>
        <v>400.252657</v>
      </c>
      <c r="AA407" s="77">
        <f t="shared" si="80"/>
        <v>1153.1887140000001</v>
      </c>
      <c r="AB407" s="77">
        <f t="shared" si="80"/>
        <v>1374.9742329999999</v>
      </c>
      <c r="AC407" s="77">
        <f t="shared" si="80"/>
        <v>1549.0139270000002</v>
      </c>
      <c r="AD407" s="77">
        <f t="shared" si="80"/>
        <v>909.89812599999993</v>
      </c>
      <c r="AE407" s="77">
        <f t="shared" si="80"/>
        <v>2717.2495802000003</v>
      </c>
      <c r="AF407" s="77">
        <f t="shared" si="80"/>
        <v>1393.2888476399999</v>
      </c>
      <c r="AG407" s="77">
        <f t="shared" si="80"/>
        <v>3063.6510420200002</v>
      </c>
      <c r="AH407" s="77">
        <f t="shared" si="80"/>
        <v>2429.5295167899999</v>
      </c>
      <c r="AI407" s="77">
        <f t="shared" si="80"/>
        <v>5075.8452206799993</v>
      </c>
      <c r="AJ407" s="77">
        <f t="shared" si="80"/>
        <v>313.42857000000004</v>
      </c>
      <c r="AK407" s="77">
        <f t="shared" si="80"/>
        <v>6496.1956401799998</v>
      </c>
      <c r="AL407" s="77">
        <f t="shared" si="80"/>
        <v>2293.7422785599997</v>
      </c>
      <c r="AM407" s="77">
        <f t="shared" si="80"/>
        <v>4502.3887267499995</v>
      </c>
      <c r="AN407" s="77">
        <f t="shared" si="80"/>
        <v>2016.6545959999999</v>
      </c>
      <c r="AO407" s="77">
        <f t="shared" si="80"/>
        <v>3411.0631259999996</v>
      </c>
      <c r="AP407" s="77">
        <f t="shared" si="80"/>
        <v>4254.3666794999999</v>
      </c>
      <c r="AQ407" s="77">
        <f t="shared" si="80"/>
        <v>1661.8715899999997</v>
      </c>
      <c r="AR407" s="77">
        <f t="shared" si="80"/>
        <v>1127.8113109999999</v>
      </c>
      <c r="AS407" s="77">
        <f t="shared" si="80"/>
        <v>1556.1662760000002</v>
      </c>
      <c r="AT407" s="77">
        <f t="shared" si="80"/>
        <v>2404.232426</v>
      </c>
      <c r="AU407" s="77">
        <f t="shared" si="80"/>
        <v>1401.221317</v>
      </c>
      <c r="AV407" s="77">
        <f t="shared" si="80"/>
        <v>967.95279099999993</v>
      </c>
      <c r="AW407" s="77">
        <f t="shared" si="80"/>
        <v>605.69144199999994</v>
      </c>
      <c r="AX407" s="77">
        <f t="shared" si="80"/>
        <v>1150.6750960000002</v>
      </c>
      <c r="AY407" s="77">
        <f t="shared" si="80"/>
        <v>2830.0219422500004</v>
      </c>
      <c r="AZ407" s="77">
        <f t="shared" si="80"/>
        <v>1154.636632</v>
      </c>
      <c r="BA407" s="77">
        <f t="shared" si="80"/>
        <v>839.72529699999996</v>
      </c>
      <c r="BB407" s="77">
        <f t="shared" si="80"/>
        <v>5635.4521767400001</v>
      </c>
      <c r="BC407" s="77">
        <f t="shared" si="80"/>
        <v>11.25</v>
      </c>
      <c r="BD407" s="77">
        <f t="shared" si="80"/>
        <v>1165.0293059999999</v>
      </c>
      <c r="BE407" s="77">
        <f t="shared" si="80"/>
        <v>2710.5147350000002</v>
      </c>
      <c r="BF407" s="77">
        <f t="shared" si="80"/>
        <v>4367.593382</v>
      </c>
      <c r="BG407" s="77">
        <f t="shared" si="80"/>
        <v>3168.137025</v>
      </c>
      <c r="BH407" s="77">
        <f t="shared" si="80"/>
        <v>2919.5662990000001</v>
      </c>
      <c r="BI407" s="77">
        <f t="shared" si="80"/>
        <v>1362.14868</v>
      </c>
      <c r="BJ407" s="77">
        <f t="shared" si="80"/>
        <v>5530.2466069999991</v>
      </c>
      <c r="BK407" s="77">
        <f t="shared" si="80"/>
        <v>409.20151299999998</v>
      </c>
      <c r="BL407" s="77">
        <f t="shared" si="80"/>
        <v>2127.3108729999999</v>
      </c>
      <c r="BM407" s="77">
        <f t="shared" si="80"/>
        <v>1421.644984</v>
      </c>
      <c r="BN407" s="77">
        <f t="shared" si="80"/>
        <v>7667.3129609999996</v>
      </c>
      <c r="BO407" s="77">
        <f t="shared" si="80"/>
        <v>3342.83961658</v>
      </c>
      <c r="BP407" s="77">
        <f t="shared" si="80"/>
        <v>3447.3499552399999</v>
      </c>
      <c r="BQ407" s="77">
        <f t="shared" si="80"/>
        <v>1606.8982470000001</v>
      </c>
      <c r="BR407" s="77">
        <f t="shared" si="80"/>
        <v>1356.7310446200001</v>
      </c>
      <c r="BS407" s="77">
        <f t="shared" si="80"/>
        <v>950.73758299999997</v>
      </c>
      <c r="BT407" s="77">
        <f t="shared" ref="BT407:DV407" si="81">+SUM(BT405:BT406)</f>
        <v>365.99358800000005</v>
      </c>
      <c r="BU407" s="77">
        <f t="shared" si="81"/>
        <v>2894.5377776200003</v>
      </c>
      <c r="BV407" s="77">
        <f t="shared" si="81"/>
        <v>1985.2958672300001</v>
      </c>
      <c r="BW407" s="77">
        <f t="shared" si="81"/>
        <v>638.84442300000001</v>
      </c>
      <c r="BX407" s="77">
        <f t="shared" si="81"/>
        <v>1798.3043640000001</v>
      </c>
      <c r="BY407" s="77">
        <f t="shared" si="81"/>
        <v>664.61133099999995</v>
      </c>
      <c r="BZ407" s="77">
        <f t="shared" si="81"/>
        <v>2120.4698579999999</v>
      </c>
      <c r="CA407" s="77">
        <f t="shared" si="81"/>
        <v>251.62536399999999</v>
      </c>
      <c r="CB407" s="77">
        <f t="shared" si="81"/>
        <v>749.49652700000001</v>
      </c>
      <c r="CC407" s="77">
        <f t="shared" si="81"/>
        <v>1193.4835640000001</v>
      </c>
      <c r="CD407" s="77">
        <f t="shared" si="81"/>
        <v>1518.5921619999999</v>
      </c>
      <c r="CE407" s="77">
        <f t="shared" si="81"/>
        <v>2044.7849131099999</v>
      </c>
      <c r="CF407" s="77">
        <f t="shared" si="81"/>
        <v>1396.78373489</v>
      </c>
      <c r="CG407" s="77">
        <f t="shared" si="81"/>
        <v>1496.7943029999999</v>
      </c>
      <c r="CH407" s="77">
        <f t="shared" si="81"/>
        <v>958.38698804000001</v>
      </c>
      <c r="CI407" s="77">
        <f t="shared" si="81"/>
        <v>2003.5027810000001</v>
      </c>
      <c r="CJ407" s="77">
        <f t="shared" si="81"/>
        <v>1646.244428</v>
      </c>
      <c r="CK407" s="77">
        <f t="shared" si="81"/>
        <v>1271.525889</v>
      </c>
      <c r="CL407" s="77">
        <f t="shared" si="81"/>
        <v>2298.5245420000001</v>
      </c>
      <c r="CM407" s="77">
        <f t="shared" si="81"/>
        <v>192.02335299999999</v>
      </c>
      <c r="CN407" s="77">
        <f t="shared" si="81"/>
        <v>2041.460965</v>
      </c>
      <c r="CO407" s="77">
        <f t="shared" si="81"/>
        <v>658.48936900000001</v>
      </c>
      <c r="CP407" s="77">
        <f t="shared" si="81"/>
        <v>2344.8891739999999</v>
      </c>
      <c r="CQ407" s="77">
        <f t="shared" si="81"/>
        <v>192.35630399999999</v>
      </c>
      <c r="CR407" s="77">
        <f t="shared" si="81"/>
        <v>3206.773424</v>
      </c>
      <c r="CS407" s="77">
        <f t="shared" si="81"/>
        <v>4318.4802149999996</v>
      </c>
      <c r="CT407" s="77">
        <f t="shared" si="81"/>
        <v>525.252972</v>
      </c>
      <c r="CU407" s="77">
        <f t="shared" si="81"/>
        <v>434.90724100000034</v>
      </c>
      <c r="CV407" s="77">
        <f t="shared" si="81"/>
        <v>2330.37291</v>
      </c>
      <c r="CW407" s="77">
        <f t="shared" si="81"/>
        <v>114.79060600000001</v>
      </c>
      <c r="CX407" s="77">
        <f t="shared" si="81"/>
        <v>2036.5357489999999</v>
      </c>
      <c r="CY407" s="77">
        <f t="shared" si="81"/>
        <v>143.6492760000003</v>
      </c>
      <c r="CZ407" s="77">
        <f t="shared" si="81"/>
        <v>146.80693499999998</v>
      </c>
      <c r="DA407" s="77">
        <f t="shared" si="81"/>
        <v>1452.6870839999999</v>
      </c>
      <c r="DB407" s="77">
        <f t="shared" si="81"/>
        <v>164.27599600000002</v>
      </c>
      <c r="DC407" s="77">
        <f t="shared" si="81"/>
        <v>1451.0342589999998</v>
      </c>
      <c r="DD407" s="77">
        <f t="shared" si="81"/>
        <v>879.82824900000003</v>
      </c>
      <c r="DE407" s="77">
        <f t="shared" si="81"/>
        <v>1241.8056779999997</v>
      </c>
      <c r="DF407" s="77">
        <f t="shared" si="81"/>
        <v>4667.6798804545942</v>
      </c>
      <c r="DG407" s="77">
        <f t="shared" si="81"/>
        <v>2029.5647194528965</v>
      </c>
      <c r="DH407" s="77">
        <f t="shared" si="81"/>
        <v>2468.7866884282889</v>
      </c>
      <c r="DI407" s="77">
        <f t="shared" si="81"/>
        <v>2657.3174905271349</v>
      </c>
      <c r="DJ407" s="77">
        <f t="shared" si="81"/>
        <v>9363.4842946566678</v>
      </c>
      <c r="DK407" s="77">
        <f t="shared" si="81"/>
        <v>5634.1877458885647</v>
      </c>
      <c r="DL407" s="77">
        <f t="shared" si="81"/>
        <v>3982.1345864868485</v>
      </c>
      <c r="DM407" s="77">
        <f t="shared" si="81"/>
        <v>8555.6183446989708</v>
      </c>
      <c r="DN407" s="77">
        <f t="shared" si="81"/>
        <v>6108.2320490800957</v>
      </c>
      <c r="DO407" s="77">
        <f t="shared" si="81"/>
        <v>5373.7423163890608</v>
      </c>
      <c r="DP407" s="77">
        <f t="shared" si="81"/>
        <v>3255.998767158359</v>
      </c>
      <c r="DQ407" s="77">
        <f t="shared" si="81"/>
        <v>3405.9148187139135</v>
      </c>
      <c r="DR407" s="77">
        <f t="shared" si="81"/>
        <v>2455.6252851249724</v>
      </c>
      <c r="DS407" s="77">
        <f t="shared" si="81"/>
        <v>2430.2407531132558</v>
      </c>
      <c r="DT407" s="77">
        <f t="shared" si="81"/>
        <v>3105.6436352994083</v>
      </c>
      <c r="DU407" s="77">
        <f t="shared" si="81"/>
        <v>4428.7303973088992</v>
      </c>
      <c r="DV407" s="77">
        <f t="shared" si="81"/>
        <v>1965.5968182103252</v>
      </c>
      <c r="DW407" s="42">
        <f>SUM(G407:DV407)</f>
        <v>253730.49542922279</v>
      </c>
      <c r="DZ407" s="51"/>
      <c r="EA407" s="51"/>
      <c r="EB407" s="51"/>
      <c r="EC407" s="51"/>
    </row>
    <row r="408" spans="5:152" ht="15" x14ac:dyDescent="0.25">
      <c r="E408" s="49"/>
      <c r="F408" s="49"/>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c r="AQ408" s="77"/>
      <c r="AR408" s="77"/>
      <c r="AS408" s="77"/>
      <c r="AT408" s="77"/>
      <c r="AU408" s="77"/>
      <c r="AV408" s="77"/>
      <c r="AW408" s="77"/>
      <c r="AX408" s="77"/>
      <c r="AY408" s="77"/>
      <c r="AZ408" s="77"/>
      <c r="BA408" s="77"/>
      <c r="BB408" s="77"/>
      <c r="BC408" s="77"/>
      <c r="BD408" s="77"/>
      <c r="BE408" s="77"/>
      <c r="BF408" s="77"/>
      <c r="BG408" s="434"/>
      <c r="BH408" s="434"/>
      <c r="BI408" s="77"/>
      <c r="BJ408" s="77"/>
      <c r="BK408" s="77"/>
      <c r="BL408" s="77"/>
      <c r="BM408" s="77"/>
      <c r="BN408" s="77"/>
      <c r="BO408" s="77"/>
      <c r="BP408" s="77"/>
      <c r="BQ408" s="77"/>
      <c r="BR408" s="77"/>
      <c r="BS408" s="77"/>
      <c r="BT408" s="77"/>
      <c r="BU408" s="77"/>
      <c r="BV408" s="77"/>
      <c r="BW408" s="77"/>
      <c r="BX408" s="77"/>
      <c r="BY408" s="77"/>
      <c r="BZ408" s="77"/>
      <c r="CA408" s="77"/>
      <c r="CB408" s="77"/>
      <c r="CC408" s="77"/>
      <c r="CD408" s="77"/>
      <c r="CE408" s="77"/>
      <c r="CF408" s="77"/>
      <c r="CG408" s="77"/>
      <c r="CH408" s="77"/>
      <c r="CI408" s="77"/>
      <c r="CJ408" s="77"/>
      <c r="CK408" s="77"/>
      <c r="CL408" s="77"/>
      <c r="CM408" s="77"/>
      <c r="CN408" s="77"/>
      <c r="CO408" s="77"/>
      <c r="CP408" s="77"/>
      <c r="CQ408" s="77"/>
      <c r="CR408" s="77"/>
      <c r="CS408" s="77"/>
      <c r="CT408" s="77"/>
      <c r="CU408" s="77"/>
      <c r="CV408" s="77"/>
      <c r="CW408" s="77"/>
      <c r="CX408" s="77"/>
      <c r="CY408" s="77"/>
      <c r="CZ408" s="77"/>
      <c r="DA408" s="77"/>
      <c r="DB408" s="77"/>
      <c r="DC408" s="77"/>
      <c r="DD408" s="77"/>
      <c r="DE408" s="77"/>
      <c r="DF408" s="77"/>
      <c r="DG408" s="77"/>
      <c r="DH408" s="77"/>
      <c r="DI408" s="77"/>
      <c r="DJ408" s="77"/>
      <c r="DK408" s="77"/>
      <c r="DL408" s="77"/>
      <c r="DM408" s="77"/>
      <c r="DN408" s="77"/>
      <c r="DO408" s="77"/>
      <c r="DP408" s="77"/>
      <c r="DQ408" s="77"/>
      <c r="DR408" s="77"/>
      <c r="DS408" s="77"/>
      <c r="DT408" s="77"/>
      <c r="DU408" s="77"/>
      <c r="DV408" s="77"/>
      <c r="DW408" s="66"/>
      <c r="DZ408" s="51"/>
      <c r="EA408" s="51"/>
      <c r="EB408" s="51"/>
      <c r="EC408" s="51"/>
    </row>
    <row r="409" spans="5:152" ht="15" x14ac:dyDescent="0.25">
      <c r="E409" s="432"/>
      <c r="AQ409" s="71"/>
      <c r="BG409" s="435"/>
      <c r="BH409" s="434"/>
      <c r="BI409" s="77"/>
      <c r="BJ409" s="77"/>
      <c r="BK409" s="77"/>
      <c r="BL409" s="77"/>
      <c r="BM409" s="77"/>
      <c r="BN409" s="77"/>
      <c r="BO409" s="77"/>
      <c r="BP409" s="77"/>
      <c r="BQ409" s="77"/>
      <c r="BR409" s="77"/>
      <c r="BS409" s="77"/>
      <c r="BT409" s="77"/>
      <c r="BU409" s="77"/>
      <c r="BV409" s="77"/>
      <c r="BW409" s="77"/>
      <c r="BX409" s="77"/>
      <c r="BY409" s="77"/>
      <c r="BZ409" s="77"/>
      <c r="CA409" s="77"/>
      <c r="CB409" s="77"/>
      <c r="CC409" s="77"/>
      <c r="CD409" s="77"/>
      <c r="CE409" s="77"/>
      <c r="CF409" s="77"/>
      <c r="CG409" s="77"/>
      <c r="CH409" s="77"/>
      <c r="CI409" s="77"/>
      <c r="CJ409" s="77"/>
      <c r="CK409" s="77"/>
      <c r="CL409" s="77"/>
      <c r="CM409" s="77"/>
      <c r="CN409" s="77"/>
      <c r="CO409" s="77"/>
      <c r="CP409" s="77"/>
      <c r="CQ409" s="77"/>
      <c r="CR409" s="77"/>
      <c r="CS409" s="77"/>
      <c r="CT409" s="77"/>
      <c r="CU409" s="77"/>
      <c r="CV409" s="77"/>
      <c r="CW409" s="77"/>
      <c r="CX409" s="77"/>
      <c r="CY409" s="77"/>
      <c r="CZ409" s="77"/>
      <c r="DA409" s="77"/>
      <c r="DB409" s="77"/>
      <c r="DC409" s="77"/>
      <c r="DD409" s="77"/>
      <c r="DE409" s="77"/>
      <c r="DF409" s="77"/>
      <c r="DG409" s="77"/>
      <c r="DH409" s="77"/>
      <c r="DI409" s="77"/>
      <c r="DJ409" s="77"/>
      <c r="DK409" s="77"/>
      <c r="DL409" s="77"/>
      <c r="DM409" s="77"/>
      <c r="DN409" s="77"/>
      <c r="DO409" s="77"/>
      <c r="DP409" s="77"/>
      <c r="DQ409" s="77"/>
      <c r="DR409" s="77"/>
      <c r="DS409" s="77"/>
      <c r="DT409" s="77"/>
      <c r="DU409" s="77"/>
      <c r="DV409" s="77"/>
      <c r="DZ409" s="51"/>
      <c r="EA409" s="51"/>
      <c r="EB409" s="51"/>
      <c r="EC409" s="51"/>
    </row>
    <row r="410" spans="5:152" x14ac:dyDescent="0.2">
      <c r="E410" s="49" t="s">
        <v>220</v>
      </c>
      <c r="F410" s="49"/>
      <c r="G410" s="77">
        <f>+G403-G407</f>
        <v>-3.9999576983973384E-8</v>
      </c>
      <c r="H410" s="77">
        <f t="shared" ref="H410:BS410" si="82">+H403-H407</f>
        <v>-9.605546438251622E-7</v>
      </c>
      <c r="I410" s="77">
        <f t="shared" si="82"/>
        <v>0</v>
      </c>
      <c r="J410" s="77">
        <f t="shared" si="82"/>
        <v>0</v>
      </c>
      <c r="K410" s="77">
        <f t="shared" si="82"/>
        <v>0</v>
      </c>
      <c r="L410" s="77">
        <f t="shared" si="82"/>
        <v>0</v>
      </c>
      <c r="M410" s="77">
        <f t="shared" si="82"/>
        <v>0</v>
      </c>
      <c r="N410" s="77">
        <f t="shared" si="82"/>
        <v>0</v>
      </c>
      <c r="O410" s="77">
        <f t="shared" si="82"/>
        <v>0</v>
      </c>
      <c r="P410" s="77">
        <f t="shared" si="82"/>
        <v>0</v>
      </c>
      <c r="Q410" s="77">
        <f t="shared" si="82"/>
        <v>697.43799999999999</v>
      </c>
      <c r="R410" s="77">
        <f t="shared" si="82"/>
        <v>-110.505015</v>
      </c>
      <c r="S410" s="77">
        <f t="shared" si="82"/>
        <v>-26.798509549999999</v>
      </c>
      <c r="T410" s="77">
        <f t="shared" si="82"/>
        <v>-77.325733159999999</v>
      </c>
      <c r="U410" s="77">
        <f t="shared" si="82"/>
        <v>-56.10479394</v>
      </c>
      <c r="V410" s="77">
        <f t="shared" si="82"/>
        <v>1022.4677836200001</v>
      </c>
      <c r="W410" s="77">
        <f t="shared" si="82"/>
        <v>719.20750418000011</v>
      </c>
      <c r="X410" s="77">
        <f t="shared" si="82"/>
        <v>-4734.582629739999</v>
      </c>
      <c r="Y410" s="77">
        <f t="shared" si="82"/>
        <v>-2258.7209939999998</v>
      </c>
      <c r="Z410" s="77">
        <f t="shared" si="82"/>
        <v>595.31378900000004</v>
      </c>
      <c r="AA410" s="77">
        <f t="shared" si="82"/>
        <v>-157.62226800000008</v>
      </c>
      <c r="AB410" s="77">
        <f t="shared" si="82"/>
        <v>-877.19100999999989</v>
      </c>
      <c r="AC410" s="77">
        <f t="shared" si="82"/>
        <v>-1051.2307040000001</v>
      </c>
      <c r="AD410" s="77">
        <f t="shared" si="82"/>
        <v>6413.9355100000002</v>
      </c>
      <c r="AE410" s="77">
        <f t="shared" si="82"/>
        <v>-2717.2495802000003</v>
      </c>
      <c r="AF410" s="77">
        <f t="shared" si="82"/>
        <v>-1393.2888476399999</v>
      </c>
      <c r="AG410" s="77">
        <f t="shared" si="82"/>
        <v>-1209.6510420200002</v>
      </c>
      <c r="AH410" s="77">
        <f t="shared" si="82"/>
        <v>-1502.5295167899999</v>
      </c>
      <c r="AI410" s="77">
        <f t="shared" si="82"/>
        <v>-3221.8452206799993</v>
      </c>
      <c r="AJ410" s="77">
        <f t="shared" si="82"/>
        <v>-313.42857000000004</v>
      </c>
      <c r="AK410" s="77">
        <f t="shared" si="82"/>
        <v>-4642.1956401799998</v>
      </c>
      <c r="AL410" s="77">
        <f t="shared" si="82"/>
        <v>-1366.7422785599997</v>
      </c>
      <c r="AM410" s="77">
        <f t="shared" si="82"/>
        <v>14256.017170250001</v>
      </c>
      <c r="AN410" s="77">
        <f t="shared" si="82"/>
        <v>-1089.6545959999999</v>
      </c>
      <c r="AO410" s="77">
        <f t="shared" si="82"/>
        <v>-3105.8601519999997</v>
      </c>
      <c r="AP410" s="77">
        <f t="shared" si="82"/>
        <v>3326.7103855000005</v>
      </c>
      <c r="AQ410" s="77">
        <f t="shared" si="82"/>
        <v>-1661.8715899999997</v>
      </c>
      <c r="AR410" s="77">
        <f t="shared" si="82"/>
        <v>-170.31131099999993</v>
      </c>
      <c r="AS410" s="77">
        <f t="shared" si="82"/>
        <v>358.83372399999985</v>
      </c>
      <c r="AT410" s="77">
        <f t="shared" si="82"/>
        <v>15281.771631999998</v>
      </c>
      <c r="AU410" s="77">
        <f t="shared" si="82"/>
        <v>799.278683</v>
      </c>
      <c r="AV410" s="77">
        <f t="shared" si="82"/>
        <v>-10.452790999999934</v>
      </c>
      <c r="AW410" s="77">
        <f t="shared" si="82"/>
        <v>351.80855800000006</v>
      </c>
      <c r="AX410" s="77">
        <f t="shared" si="82"/>
        <v>-1150.6750960000002</v>
      </c>
      <c r="AY410" s="77">
        <f t="shared" si="82"/>
        <v>-915.02194225000039</v>
      </c>
      <c r="AZ410" s="77">
        <f t="shared" si="82"/>
        <v>7844.4537459080002</v>
      </c>
      <c r="BA410" s="77">
        <f t="shared" si="82"/>
        <v>-839.72529699999996</v>
      </c>
      <c r="BB410" s="77">
        <f t="shared" si="82"/>
        <v>-3720.4521767400001</v>
      </c>
      <c r="BC410" s="77">
        <f t="shared" si="82"/>
        <v>-11.25</v>
      </c>
      <c r="BD410" s="77">
        <f t="shared" si="82"/>
        <v>-1165.0293059999999</v>
      </c>
      <c r="BE410" s="77">
        <f t="shared" si="82"/>
        <v>222.98526399999992</v>
      </c>
      <c r="BF410" s="77">
        <f t="shared" si="82"/>
        <v>-4367.593382</v>
      </c>
      <c r="BG410" s="77">
        <f t="shared" si="82"/>
        <v>-1212.4703589999999</v>
      </c>
      <c r="BH410" s="77">
        <f t="shared" si="82"/>
        <v>-1941.732966</v>
      </c>
      <c r="BI410" s="77">
        <f t="shared" si="82"/>
        <v>-384.31534699999997</v>
      </c>
      <c r="BJ410" s="77">
        <f t="shared" si="82"/>
        <v>6821.0747504400006</v>
      </c>
      <c r="BK410" s="77">
        <f t="shared" si="82"/>
        <v>-409.20151299999998</v>
      </c>
      <c r="BL410" s="77">
        <f t="shared" si="82"/>
        <v>3560.6407955600002</v>
      </c>
      <c r="BM410" s="77">
        <f t="shared" si="82"/>
        <v>-1421.644984</v>
      </c>
      <c r="BN410" s="77">
        <f t="shared" si="82"/>
        <v>2332.6870390000004</v>
      </c>
      <c r="BO410" s="77">
        <f t="shared" si="82"/>
        <v>-3342.83961658</v>
      </c>
      <c r="BP410" s="77">
        <f t="shared" si="82"/>
        <v>-3447.3499552399999</v>
      </c>
      <c r="BQ410" s="77">
        <f t="shared" si="82"/>
        <v>-1606.8982470000001</v>
      </c>
      <c r="BR410" s="77">
        <f t="shared" si="82"/>
        <v>-1356.7310446200001</v>
      </c>
      <c r="BS410" s="77">
        <f t="shared" si="82"/>
        <v>5513.7030189999996</v>
      </c>
      <c r="BT410" s="77">
        <f t="shared" ref="BT410:DV410" si="83">+BT403-BT407</f>
        <v>-365.99358800000005</v>
      </c>
      <c r="BU410" s="77">
        <f t="shared" si="83"/>
        <v>-2894.5377776200003</v>
      </c>
      <c r="BV410" s="77">
        <f t="shared" si="83"/>
        <v>-1985.2958672300001</v>
      </c>
      <c r="BW410" s="77">
        <f t="shared" si="83"/>
        <v>18150.155577000001</v>
      </c>
      <c r="BX410" s="77">
        <f t="shared" si="83"/>
        <v>-1798.3043640000001</v>
      </c>
      <c r="BY410" s="77">
        <f t="shared" si="83"/>
        <v>5799.8292700000002</v>
      </c>
      <c r="BZ410" s="77">
        <f t="shared" si="83"/>
        <v>-2120.4698579999999</v>
      </c>
      <c r="CA410" s="77">
        <f t="shared" si="83"/>
        <v>-251.62536399999999</v>
      </c>
      <c r="CB410" s="77">
        <f t="shared" si="83"/>
        <v>-749.49652700000001</v>
      </c>
      <c r="CC410" s="77">
        <f t="shared" si="83"/>
        <v>-1193.4835640000001</v>
      </c>
      <c r="CD410" s="77">
        <f t="shared" si="83"/>
        <v>-1518.5921619999999</v>
      </c>
      <c r="CE410" s="77">
        <f t="shared" si="83"/>
        <v>-2044.7849131099999</v>
      </c>
      <c r="CF410" s="77">
        <f t="shared" si="83"/>
        <v>1603.21626511</v>
      </c>
      <c r="CG410" s="77">
        <f t="shared" si="83"/>
        <v>-1496.7943029999999</v>
      </c>
      <c r="CH410" s="77">
        <f t="shared" si="83"/>
        <v>-958.38698804000001</v>
      </c>
      <c r="CI410" s="77">
        <f t="shared" si="83"/>
        <v>-2003.5027810000001</v>
      </c>
      <c r="CJ410" s="77">
        <f t="shared" si="83"/>
        <v>53.755572000000029</v>
      </c>
      <c r="CK410" s="77">
        <f t="shared" si="83"/>
        <v>-1271.525889</v>
      </c>
      <c r="CL410" s="77">
        <f t="shared" si="83"/>
        <v>-2298.5245420000001</v>
      </c>
      <c r="CM410" s="77">
        <f t="shared" si="83"/>
        <v>-192.02335299999999</v>
      </c>
      <c r="CN410" s="77">
        <f t="shared" si="83"/>
        <v>8958.5390349999998</v>
      </c>
      <c r="CO410" s="77">
        <f t="shared" si="83"/>
        <v>-658.48936900000001</v>
      </c>
      <c r="CP410" s="77">
        <f t="shared" si="83"/>
        <v>-2344.8891739999999</v>
      </c>
      <c r="CQ410" s="77">
        <f t="shared" si="83"/>
        <v>-192.35630399999999</v>
      </c>
      <c r="CR410" s="77">
        <f t="shared" si="83"/>
        <v>-3206.773424</v>
      </c>
      <c r="CS410" s="77">
        <f t="shared" si="83"/>
        <v>-4318.4802149999996</v>
      </c>
      <c r="CT410" s="77">
        <f t="shared" si="83"/>
        <v>37.747028</v>
      </c>
      <c r="CU410" s="77">
        <f t="shared" si="83"/>
        <v>-434.90724100000034</v>
      </c>
      <c r="CV410" s="77">
        <f t="shared" si="83"/>
        <v>2933.9856650000002</v>
      </c>
      <c r="CW410" s="77">
        <f t="shared" si="83"/>
        <v>-114.79060600000001</v>
      </c>
      <c r="CX410" s="77">
        <f t="shared" si="83"/>
        <v>-2036.5357489999999</v>
      </c>
      <c r="CY410" s="77">
        <f t="shared" si="83"/>
        <v>-143.6492760000003</v>
      </c>
      <c r="CZ410" s="77">
        <f t="shared" si="83"/>
        <v>-146.80693499999998</v>
      </c>
      <c r="DA410" s="77">
        <f t="shared" si="83"/>
        <v>-1452.6870839999999</v>
      </c>
      <c r="DB410" s="77">
        <f t="shared" si="83"/>
        <v>-164.27599600000002</v>
      </c>
      <c r="DC410" s="77">
        <f t="shared" si="83"/>
        <v>-1451.0342589999998</v>
      </c>
      <c r="DD410" s="77">
        <f t="shared" si="83"/>
        <v>-879.82824900000003</v>
      </c>
      <c r="DE410" s="77">
        <f t="shared" si="83"/>
        <v>-1241.8056779999997</v>
      </c>
      <c r="DF410" s="77">
        <f t="shared" si="83"/>
        <v>9099.9615445454056</v>
      </c>
      <c r="DG410" s="77">
        <f t="shared" si="83"/>
        <v>-2029.5647194528965</v>
      </c>
      <c r="DH410" s="77">
        <f t="shared" si="83"/>
        <v>-2468.7866884282889</v>
      </c>
      <c r="DI410" s="77">
        <f t="shared" si="83"/>
        <v>-2657.3174905271349</v>
      </c>
      <c r="DJ410" s="77">
        <f t="shared" si="83"/>
        <v>18780.456930343335</v>
      </c>
      <c r="DK410" s="77">
        <f t="shared" si="83"/>
        <v>-5634.1877458885647</v>
      </c>
      <c r="DL410" s="77">
        <f t="shared" si="83"/>
        <v>-3982.1345864868485</v>
      </c>
      <c r="DM410" s="77">
        <f t="shared" si="83"/>
        <v>-8555.6183446989708</v>
      </c>
      <c r="DN410" s="77">
        <f t="shared" si="83"/>
        <v>-6108.2320490800957</v>
      </c>
      <c r="DO410" s="77">
        <f t="shared" si="83"/>
        <v>-5373.7423163890608</v>
      </c>
      <c r="DP410" s="77">
        <f t="shared" si="83"/>
        <v>7732.2606938416429</v>
      </c>
      <c r="DQ410" s="77">
        <f t="shared" si="83"/>
        <v>-3405.9148187139135</v>
      </c>
      <c r="DR410" s="77">
        <f t="shared" si="83"/>
        <v>-2455.6252851249724</v>
      </c>
      <c r="DS410" s="77">
        <f t="shared" si="83"/>
        <v>7569.7592468867442</v>
      </c>
      <c r="DT410" s="77">
        <f t="shared" si="83"/>
        <v>-3105.6436352994083</v>
      </c>
      <c r="DU410" s="77">
        <f t="shared" si="83"/>
        <v>-4428.7303973088992</v>
      </c>
      <c r="DV410" s="77">
        <f t="shared" si="83"/>
        <v>6034.4031817896748</v>
      </c>
      <c r="DZ410" s="51"/>
      <c r="EA410" s="51"/>
      <c r="EB410" s="51"/>
      <c r="EC410" s="51"/>
      <c r="ER410" s="630"/>
    </row>
    <row r="411" spans="5:152" ht="14.25" x14ac:dyDescent="0.2">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3"/>
      <c r="BH411" s="43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c r="DK411" s="43"/>
      <c r="DL411" s="43"/>
      <c r="DM411" s="43"/>
      <c r="DN411" s="43"/>
      <c r="DO411" s="43"/>
      <c r="DP411" s="43"/>
      <c r="DQ411" s="43"/>
      <c r="DR411" s="43"/>
      <c r="DS411" s="43"/>
      <c r="DT411" s="43"/>
      <c r="DU411" s="43"/>
      <c r="DV411" s="43"/>
      <c r="DZ411" s="51"/>
      <c r="EA411" s="51"/>
      <c r="EB411" s="51"/>
      <c r="EC411" s="51"/>
      <c r="ER411" s="630"/>
    </row>
    <row r="412" spans="5:152" ht="14.25" x14ac:dyDescent="0.2">
      <c r="E412" s="51" t="s">
        <v>221</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8609.4135339999993</v>
      </c>
      <c r="Y412" s="43">
        <v>0</v>
      </c>
      <c r="Z412" s="43">
        <v>0</v>
      </c>
      <c r="AA412" s="43">
        <v>0</v>
      </c>
      <c r="AB412" s="43">
        <v>0</v>
      </c>
      <c r="AC412" s="43">
        <v>0</v>
      </c>
      <c r="AD412" s="43">
        <v>0</v>
      </c>
      <c r="AE412" s="43">
        <v>0</v>
      </c>
      <c r="AF412" s="43">
        <v>0</v>
      </c>
      <c r="AG412" s="43">
        <v>0</v>
      </c>
      <c r="AH412" s="43">
        <v>0</v>
      </c>
      <c r="AI412" s="43">
        <v>4000</v>
      </c>
      <c r="AJ412" s="43">
        <v>0</v>
      </c>
      <c r="AK412" s="43">
        <v>6000</v>
      </c>
      <c r="AL412" s="43">
        <v>0</v>
      </c>
      <c r="AM412" s="43">
        <v>0</v>
      </c>
      <c r="AN412" s="43">
        <v>0</v>
      </c>
      <c r="AO412" s="43">
        <v>0</v>
      </c>
      <c r="AP412" s="43">
        <v>0</v>
      </c>
      <c r="AQ412" s="43">
        <v>0</v>
      </c>
      <c r="AR412" s="43">
        <v>0</v>
      </c>
      <c r="AS412" s="43">
        <v>0</v>
      </c>
      <c r="AT412" s="43">
        <v>0</v>
      </c>
      <c r="AU412" s="43">
        <v>0</v>
      </c>
      <c r="AV412" s="43">
        <v>0</v>
      </c>
      <c r="AW412" s="43">
        <v>0</v>
      </c>
      <c r="AX412" s="43">
        <v>0</v>
      </c>
      <c r="AY412" s="43">
        <v>0</v>
      </c>
      <c r="AZ412" s="43">
        <v>0</v>
      </c>
      <c r="BA412" s="43">
        <v>0</v>
      </c>
      <c r="BB412" s="43">
        <v>0</v>
      </c>
      <c r="BC412" s="43">
        <v>0</v>
      </c>
      <c r="BD412" s="43">
        <v>0</v>
      </c>
      <c r="BE412" s="43">
        <v>0</v>
      </c>
      <c r="BF412" s="43">
        <v>0</v>
      </c>
      <c r="BG412" s="433">
        <v>0</v>
      </c>
      <c r="BH412" s="43">
        <v>0</v>
      </c>
      <c r="BI412" s="43">
        <v>0</v>
      </c>
      <c r="BJ412" s="43">
        <v>0</v>
      </c>
      <c r="BK412" s="43">
        <v>0</v>
      </c>
      <c r="BL412" s="43">
        <v>0</v>
      </c>
      <c r="BM412" s="43">
        <v>0</v>
      </c>
      <c r="BN412" s="43">
        <v>0</v>
      </c>
      <c r="BO412" s="461">
        <v>0</v>
      </c>
      <c r="BP412" s="43">
        <v>0</v>
      </c>
      <c r="BQ412" s="43">
        <v>0</v>
      </c>
      <c r="BR412" s="43">
        <v>0</v>
      </c>
      <c r="BS412" s="43">
        <v>0</v>
      </c>
      <c r="BT412" s="43">
        <v>0</v>
      </c>
      <c r="BU412" s="43">
        <v>0</v>
      </c>
      <c r="BV412" s="43">
        <v>0</v>
      </c>
      <c r="BW412" s="43">
        <v>0</v>
      </c>
      <c r="BX412" s="43">
        <v>0</v>
      </c>
      <c r="BY412" s="43">
        <v>0</v>
      </c>
      <c r="BZ412" s="43">
        <v>0</v>
      </c>
      <c r="CA412" s="43">
        <v>0</v>
      </c>
      <c r="CB412" s="43">
        <v>0</v>
      </c>
      <c r="CC412" s="43">
        <v>0</v>
      </c>
      <c r="CD412" s="43">
        <v>0</v>
      </c>
      <c r="CE412" s="43">
        <v>0</v>
      </c>
      <c r="CF412" s="43">
        <v>0</v>
      </c>
      <c r="CG412" s="43">
        <v>0</v>
      </c>
      <c r="CH412" s="461">
        <v>0</v>
      </c>
      <c r="CI412" s="43">
        <v>0</v>
      </c>
      <c r="CJ412" s="43">
        <v>0</v>
      </c>
      <c r="CK412" s="43">
        <v>0</v>
      </c>
      <c r="CL412" s="461">
        <v>0</v>
      </c>
      <c r="CM412" s="43">
        <v>0</v>
      </c>
      <c r="CN412" s="43">
        <v>0</v>
      </c>
      <c r="CO412" s="43">
        <v>0</v>
      </c>
      <c r="CP412" s="43">
        <v>0</v>
      </c>
      <c r="CQ412" s="43">
        <v>0</v>
      </c>
      <c r="CR412" s="43">
        <v>0</v>
      </c>
      <c r="CS412" s="43">
        <v>0</v>
      </c>
      <c r="CT412" s="43">
        <v>0</v>
      </c>
      <c r="CU412" s="43">
        <v>0</v>
      </c>
      <c r="CV412" s="43">
        <v>0</v>
      </c>
      <c r="CW412" s="43">
        <v>0</v>
      </c>
      <c r="CX412" s="461">
        <v>0</v>
      </c>
      <c r="CY412" s="461">
        <v>0</v>
      </c>
      <c r="CZ412" s="43">
        <v>0</v>
      </c>
      <c r="DA412" s="657">
        <v>0</v>
      </c>
      <c r="DB412" s="43">
        <v>0</v>
      </c>
      <c r="DC412" s="461">
        <v>0</v>
      </c>
      <c r="DD412" s="461">
        <v>0</v>
      </c>
      <c r="DE412" s="43">
        <v>0</v>
      </c>
      <c r="DF412" s="43">
        <v>0</v>
      </c>
      <c r="DG412" s="657">
        <v>20000</v>
      </c>
      <c r="DH412" s="43">
        <v>0</v>
      </c>
      <c r="DI412" s="43">
        <v>0</v>
      </c>
      <c r="DJ412" s="461">
        <v>0</v>
      </c>
      <c r="DK412" s="43"/>
      <c r="DL412" s="43"/>
      <c r="DM412" s="43"/>
      <c r="DN412" s="43"/>
      <c r="DO412" s="43"/>
      <c r="DP412" s="43"/>
      <c r="DQ412" s="43"/>
      <c r="DR412" s="43"/>
      <c r="DS412" s="43"/>
      <c r="DT412" s="43"/>
      <c r="DU412" s="43"/>
      <c r="DV412" s="43"/>
      <c r="DW412" s="42">
        <f>SUM(G412:DV412)</f>
        <v>38609.413533999999</v>
      </c>
      <c r="DY412" s="76"/>
      <c r="DZ412" s="67"/>
      <c r="EA412" s="51"/>
      <c r="EB412" s="51"/>
      <c r="EC412" s="51"/>
      <c r="ER412" s="630"/>
      <c r="EV412" s="76"/>
    </row>
    <row r="413" spans="5:152" ht="14.25" x14ac:dyDescent="0.2">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3"/>
      <c r="BH413" s="43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c r="DK413" s="43"/>
      <c r="DL413" s="43"/>
      <c r="DM413" s="43"/>
      <c r="DN413" s="43"/>
      <c r="DO413" s="43"/>
      <c r="DP413" s="43"/>
      <c r="DQ413" s="43"/>
      <c r="DR413" s="43"/>
      <c r="DS413" s="43"/>
      <c r="DT413" s="43"/>
      <c r="DU413" s="43"/>
      <c r="DV413" s="43"/>
      <c r="DW413" s="42">
        <f>SUM(G413:DV413)</f>
        <v>0</v>
      </c>
      <c r="DZ413" s="51"/>
      <c r="EA413" s="51"/>
      <c r="EB413" s="51"/>
      <c r="EC413" s="51"/>
      <c r="ER413" s="630"/>
    </row>
    <row r="414" spans="5:152" ht="14.25" x14ac:dyDescent="0.2">
      <c r="E414" s="51" t="s">
        <v>222</v>
      </c>
      <c r="G414" s="43">
        <f>G429</f>
        <v>0</v>
      </c>
      <c r="H414" s="43">
        <f t="shared" ref="H414:AP415" si="84">H429</f>
        <v>0</v>
      </c>
      <c r="I414" s="43">
        <f t="shared" si="84"/>
        <v>0</v>
      </c>
      <c r="J414" s="43">
        <f t="shared" si="84"/>
        <v>0</v>
      </c>
      <c r="K414" s="43">
        <f t="shared" si="84"/>
        <v>0</v>
      </c>
      <c r="L414" s="43">
        <f t="shared" si="84"/>
        <v>0</v>
      </c>
      <c r="M414" s="43">
        <f t="shared" si="84"/>
        <v>0</v>
      </c>
      <c r="N414" s="43">
        <f t="shared" si="84"/>
        <v>0</v>
      </c>
      <c r="O414" s="43">
        <f t="shared" si="84"/>
        <v>0</v>
      </c>
      <c r="P414" s="43">
        <f t="shared" si="84"/>
        <v>0</v>
      </c>
      <c r="Q414" s="43">
        <f t="shared" si="84"/>
        <v>0</v>
      </c>
      <c r="R414" s="43">
        <f t="shared" si="84"/>
        <v>0</v>
      </c>
      <c r="S414" s="43">
        <f t="shared" si="84"/>
        <v>0</v>
      </c>
      <c r="T414" s="43">
        <f t="shared" si="84"/>
        <v>0</v>
      </c>
      <c r="U414" s="43">
        <f t="shared" si="84"/>
        <v>0</v>
      </c>
      <c r="V414" s="43">
        <f t="shared" si="84"/>
        <v>0</v>
      </c>
      <c r="W414" s="43">
        <f t="shared" si="84"/>
        <v>0</v>
      </c>
      <c r="X414" s="43">
        <f t="shared" si="84"/>
        <v>0</v>
      </c>
      <c r="Y414" s="43">
        <f t="shared" si="84"/>
        <v>0</v>
      </c>
      <c r="Z414" s="43">
        <f t="shared" si="84"/>
        <v>0</v>
      </c>
      <c r="AA414" s="43">
        <f t="shared" si="84"/>
        <v>130.21953199999999</v>
      </c>
      <c r="AB414" s="43">
        <f t="shared" si="84"/>
        <v>0</v>
      </c>
      <c r="AC414" s="43">
        <f t="shared" si="84"/>
        <v>0</v>
      </c>
      <c r="AD414" s="43">
        <f t="shared" si="84"/>
        <v>140.193848</v>
      </c>
      <c r="AE414" s="43">
        <f t="shared" si="84"/>
        <v>0</v>
      </c>
      <c r="AF414" s="43">
        <f t="shared" si="84"/>
        <v>0</v>
      </c>
      <c r="AG414" s="43">
        <f t="shared" si="84"/>
        <v>148.65705700000001</v>
      </c>
      <c r="AH414" s="43">
        <f t="shared" si="84"/>
        <v>0</v>
      </c>
      <c r="AI414" s="43">
        <f t="shared" si="84"/>
        <v>0</v>
      </c>
      <c r="AJ414" s="43">
        <f t="shared" si="84"/>
        <v>159.59597299999999</v>
      </c>
      <c r="AK414" s="43">
        <f t="shared" si="84"/>
        <v>0</v>
      </c>
      <c r="AL414" s="43">
        <f t="shared" si="84"/>
        <v>74.150000000000006</v>
      </c>
      <c r="AM414" s="43">
        <f t="shared" si="84"/>
        <v>160.68251799999999</v>
      </c>
      <c r="AN414" s="43">
        <f t="shared" si="84"/>
        <v>114.02549999999999</v>
      </c>
      <c r="AO414" s="43">
        <f t="shared" si="84"/>
        <v>74.564999999999998</v>
      </c>
      <c r="AP414" s="43">
        <f t="shared" si="84"/>
        <v>160.01325800000001</v>
      </c>
      <c r="AQ414" s="43">
        <v>109.51349999999999</v>
      </c>
      <c r="AR414" s="43">
        <v>78.406999999999996</v>
      </c>
      <c r="AS414" s="43">
        <v>155.32844299999999</v>
      </c>
      <c r="AT414" s="43">
        <v>218.12913499999999</v>
      </c>
      <c r="AU414" s="43">
        <v>0</v>
      </c>
      <c r="AV414" s="43">
        <v>0</v>
      </c>
      <c r="AW414" s="43">
        <v>0</v>
      </c>
      <c r="AX414" s="43">
        <v>0</v>
      </c>
      <c r="AY414" s="43">
        <v>0</v>
      </c>
      <c r="AZ414" s="43">
        <v>0</v>
      </c>
      <c r="BA414" s="43">
        <v>0</v>
      </c>
      <c r="BB414" s="43">
        <v>0</v>
      </c>
      <c r="BC414" s="43">
        <v>0</v>
      </c>
      <c r="BD414" s="43">
        <v>0</v>
      </c>
      <c r="BE414" s="43">
        <v>0</v>
      </c>
      <c r="BF414" s="43">
        <v>0</v>
      </c>
      <c r="BG414" s="433">
        <v>0</v>
      </c>
      <c r="BH414" s="433">
        <v>0</v>
      </c>
      <c r="BI414" s="43">
        <v>0</v>
      </c>
      <c r="BJ414" s="43">
        <v>0</v>
      </c>
      <c r="BK414" s="43">
        <v>0</v>
      </c>
      <c r="BL414" s="43">
        <v>0</v>
      </c>
      <c r="BM414" s="43">
        <v>0</v>
      </c>
      <c r="BN414" s="43">
        <v>0</v>
      </c>
      <c r="BO414" s="43">
        <v>0</v>
      </c>
      <c r="BP414" s="43">
        <v>0</v>
      </c>
      <c r="BQ414" s="43">
        <v>0</v>
      </c>
      <c r="BR414" s="43">
        <v>0</v>
      </c>
      <c r="BS414" s="43">
        <v>0</v>
      </c>
      <c r="BT414" s="43">
        <v>0</v>
      </c>
      <c r="BU414" s="43">
        <v>0</v>
      </c>
      <c r="BV414" s="43">
        <v>0</v>
      </c>
      <c r="BW414" s="43">
        <v>0</v>
      </c>
      <c r="BX414" s="43">
        <v>0</v>
      </c>
      <c r="BY414" s="43">
        <v>0</v>
      </c>
      <c r="BZ414" s="43">
        <v>0</v>
      </c>
      <c r="CA414" s="43">
        <v>0</v>
      </c>
      <c r="CB414" s="43">
        <v>0</v>
      </c>
      <c r="CC414" s="43">
        <v>0</v>
      </c>
      <c r="CD414" s="43">
        <v>0</v>
      </c>
      <c r="CE414" s="43">
        <v>0</v>
      </c>
      <c r="CF414" s="43">
        <v>0</v>
      </c>
      <c r="CG414" s="43">
        <v>0</v>
      </c>
      <c r="CH414" s="43">
        <v>0</v>
      </c>
      <c r="CI414" s="43">
        <v>0</v>
      </c>
      <c r="CJ414" s="43">
        <v>0</v>
      </c>
      <c r="CK414" s="43">
        <f>'[12]credito 2016_1'!E18</f>
        <v>0</v>
      </c>
      <c r="CL414" s="43">
        <v>0</v>
      </c>
      <c r="CM414" s="43">
        <v>0</v>
      </c>
      <c r="CN414" s="43">
        <f>'[12]credito 2016_1'!E19</f>
        <v>0</v>
      </c>
      <c r="CO414" s="43">
        <f>'[12]cdto 2016_2'!E18</f>
        <v>0</v>
      </c>
      <c r="CP414" s="43">
        <v>0</v>
      </c>
      <c r="CQ414" s="43">
        <f>'[12]crdto 2017_1'!E18</f>
        <v>0</v>
      </c>
      <c r="CR414" s="43">
        <f>+'[12]cdto 2016_2'!E19</f>
        <v>0</v>
      </c>
      <c r="CS414" s="43">
        <v>0</v>
      </c>
      <c r="CT414" s="43">
        <f>'[12]crdto 2017_1'!E19</f>
        <v>0</v>
      </c>
      <c r="CU414" s="43">
        <f>+'[12]cdto 2016_2'!E20</f>
        <v>0</v>
      </c>
      <c r="CV414" s="43">
        <v>0</v>
      </c>
      <c r="CW414" s="43">
        <f>'[12]crdto 2017_1'!E20</f>
        <v>0</v>
      </c>
      <c r="CX414" s="43">
        <f>'[12]cdto 2016_2'!E21</f>
        <v>0</v>
      </c>
      <c r="CY414" s="43">
        <v>0</v>
      </c>
      <c r="CZ414" s="43">
        <f>'[12]crdto 2017_1'!E21</f>
        <v>0</v>
      </c>
      <c r="DA414" s="43">
        <v>0</v>
      </c>
      <c r="DB414" s="43">
        <v>0</v>
      </c>
      <c r="DC414" s="43">
        <f>'[12]crdto 2017_1'!E22</f>
        <v>0</v>
      </c>
      <c r="DD414" s="43">
        <f>+'crdto 2018_1'!E18</f>
        <v>0</v>
      </c>
      <c r="DE414" s="43">
        <v>0</v>
      </c>
      <c r="DF414" s="43">
        <v>0</v>
      </c>
      <c r="DG414" s="43">
        <f>+'crdto 2018_1'!E19</f>
        <v>0</v>
      </c>
      <c r="DH414" s="43">
        <v>0</v>
      </c>
      <c r="DI414" s="43">
        <v>0</v>
      </c>
      <c r="DJ414" s="43">
        <f>+'crdto 2018_3'!E18+'crdto 2018_1'!E20</f>
        <v>550.00000000000159</v>
      </c>
      <c r="DK414" s="43">
        <v>0</v>
      </c>
      <c r="DL414" s="43">
        <v>0</v>
      </c>
      <c r="DM414" s="43">
        <f>+'crdto 2018_3'!E19+'crdto 2018_1'!E21</f>
        <v>440.00000000000125</v>
      </c>
      <c r="DN414" s="43">
        <v>0</v>
      </c>
      <c r="DO414" s="43">
        <v>0</v>
      </c>
      <c r="DP414" s="43">
        <f>+'crdto 2018_3'!E20+'crdto 2018_1'!E22</f>
        <v>330.00000000000097</v>
      </c>
      <c r="DQ414" s="43">
        <v>0</v>
      </c>
      <c r="DR414" s="43">
        <v>0</v>
      </c>
      <c r="DS414" s="43">
        <f>+'crdto 2018_3'!E21+'crdto 2018_1'!E23</f>
        <v>220.00000000000063</v>
      </c>
      <c r="DT414" s="43">
        <v>0</v>
      </c>
      <c r="DU414" s="43">
        <v>0</v>
      </c>
      <c r="DV414" s="43">
        <f>+'crdto 2018_3'!E22</f>
        <v>110.00000000000031</v>
      </c>
      <c r="DW414" s="42">
        <f>SUM(G414:DV414)</f>
        <v>3373.4807640000045</v>
      </c>
      <c r="DX414" s="76"/>
      <c r="DY414" s="67"/>
      <c r="DZ414" s="685">
        <f>+DW414+DV420</f>
        <v>5688.1538586851975</v>
      </c>
      <c r="EA414" s="686"/>
      <c r="EB414" s="51"/>
      <c r="EC414" s="51"/>
      <c r="ER414" s="630"/>
    </row>
    <row r="415" spans="5:152" ht="14.25" x14ac:dyDescent="0.2">
      <c r="E415" s="51" t="s">
        <v>223</v>
      </c>
      <c r="G415" s="43">
        <v>0</v>
      </c>
      <c r="H415" s="43">
        <v>0</v>
      </c>
      <c r="I415" s="43">
        <v>0</v>
      </c>
      <c r="J415" s="43">
        <v>0</v>
      </c>
      <c r="K415" s="43">
        <v>0</v>
      </c>
      <c r="L415" s="43">
        <v>0</v>
      </c>
      <c r="M415" s="43">
        <v>0</v>
      </c>
      <c r="N415" s="43">
        <v>0</v>
      </c>
      <c r="O415" s="43">
        <v>0</v>
      </c>
      <c r="P415" s="43">
        <v>0</v>
      </c>
      <c r="Q415" s="43">
        <v>0</v>
      </c>
      <c r="R415" s="43">
        <v>0</v>
      </c>
      <c r="S415" s="43">
        <v>0</v>
      </c>
      <c r="T415" s="43">
        <v>0</v>
      </c>
      <c r="U415" s="43">
        <v>0</v>
      </c>
      <c r="V415" s="43">
        <v>0</v>
      </c>
      <c r="W415" s="43">
        <v>0</v>
      </c>
      <c r="X415" s="43">
        <v>0</v>
      </c>
      <c r="Y415" s="43">
        <v>0</v>
      </c>
      <c r="Z415" s="43">
        <v>0</v>
      </c>
      <c r="AA415" s="43">
        <v>0</v>
      </c>
      <c r="AB415" s="43">
        <v>0</v>
      </c>
      <c r="AC415" s="43">
        <v>0</v>
      </c>
      <c r="AD415" s="43">
        <f t="shared" si="84"/>
        <v>1.5752120000000001</v>
      </c>
      <c r="AE415" s="43">
        <v>0</v>
      </c>
      <c r="AF415" s="43">
        <v>0</v>
      </c>
      <c r="AG415" s="43">
        <v>0</v>
      </c>
      <c r="AH415" s="43">
        <v>0</v>
      </c>
      <c r="AI415" s="43">
        <v>0</v>
      </c>
      <c r="AJ415" s="43">
        <v>0</v>
      </c>
      <c r="AK415" s="43">
        <v>0</v>
      </c>
      <c r="AL415" s="43">
        <v>0</v>
      </c>
      <c r="AM415" s="43">
        <v>0</v>
      </c>
      <c r="AN415" s="43">
        <v>0</v>
      </c>
      <c r="AO415" s="43">
        <v>0</v>
      </c>
      <c r="AP415" s="43">
        <v>0</v>
      </c>
      <c r="AQ415" s="43">
        <v>0</v>
      </c>
      <c r="AR415" s="43">
        <v>0</v>
      </c>
      <c r="AS415" s="43">
        <v>0</v>
      </c>
      <c r="AT415" s="43">
        <f>18609.413534-1.575212</f>
        <v>18607.838322</v>
      </c>
      <c r="AU415" s="43">
        <v>0</v>
      </c>
      <c r="AV415" s="43">
        <v>0</v>
      </c>
      <c r="AW415" s="43">
        <v>0</v>
      </c>
      <c r="AX415" s="43">
        <v>0</v>
      </c>
      <c r="AY415" s="43">
        <v>0</v>
      </c>
      <c r="AZ415" s="43">
        <v>0</v>
      </c>
      <c r="BA415" s="43">
        <v>0</v>
      </c>
      <c r="BB415" s="43">
        <v>0</v>
      </c>
      <c r="BC415" s="43">
        <v>0</v>
      </c>
      <c r="BD415" s="43">
        <v>0</v>
      </c>
      <c r="BE415" s="43">
        <v>0</v>
      </c>
      <c r="BF415" s="43">
        <v>0</v>
      </c>
      <c r="BG415" s="433">
        <v>0</v>
      </c>
      <c r="BH415" s="433">
        <v>0</v>
      </c>
      <c r="BI415" s="43">
        <v>0</v>
      </c>
      <c r="BJ415" s="43">
        <v>0</v>
      </c>
      <c r="BK415" s="43">
        <f>+'[12]credito 2014_1'!F18</f>
        <v>0</v>
      </c>
      <c r="BL415" s="43">
        <v>0</v>
      </c>
      <c r="BM415" s="43">
        <v>0</v>
      </c>
      <c r="BN415" s="43">
        <v>0</v>
      </c>
      <c r="BO415" s="43">
        <v>0</v>
      </c>
      <c r="BP415" s="43">
        <v>0</v>
      </c>
      <c r="BQ415" s="43">
        <v>0</v>
      </c>
      <c r="BR415" s="43">
        <v>0</v>
      </c>
      <c r="BS415" s="43">
        <v>0</v>
      </c>
      <c r="BT415" s="43">
        <v>0</v>
      </c>
      <c r="BU415" s="43">
        <v>0</v>
      </c>
      <c r="BV415" s="43">
        <v>0</v>
      </c>
      <c r="BW415" s="43">
        <v>0</v>
      </c>
      <c r="BX415" s="43">
        <v>0</v>
      </c>
      <c r="BY415" s="43">
        <v>0</v>
      </c>
      <c r="BZ415" s="43">
        <v>0</v>
      </c>
      <c r="CA415" s="43">
        <v>0</v>
      </c>
      <c r="CB415" s="43">
        <v>0</v>
      </c>
      <c r="CC415" s="43">
        <v>0</v>
      </c>
      <c r="CD415" s="43">
        <v>0</v>
      </c>
      <c r="CE415" s="43">
        <v>0</v>
      </c>
      <c r="CF415" s="43">
        <v>0</v>
      </c>
      <c r="CG415" s="43">
        <v>0</v>
      </c>
      <c r="CH415" s="43">
        <v>0</v>
      </c>
      <c r="CI415" s="43">
        <v>0</v>
      </c>
      <c r="CJ415" s="43">
        <v>0</v>
      </c>
      <c r="CK415" s="43">
        <f>'[12]credito 2016_1'!F18</f>
        <v>0</v>
      </c>
      <c r="CL415" s="43">
        <v>0</v>
      </c>
      <c r="CM415" s="43">
        <v>0</v>
      </c>
      <c r="CN415" s="43">
        <f>'[12]credito 2016_1'!F19</f>
        <v>0</v>
      </c>
      <c r="CO415" s="43">
        <f>+'[12]cdto 2016_2'!F18</f>
        <v>0</v>
      </c>
      <c r="CP415" s="43">
        <v>0</v>
      </c>
      <c r="CQ415" s="43">
        <f>'[12]crdto 2017_1'!F18</f>
        <v>0</v>
      </c>
      <c r="CR415" s="43">
        <f>+'[12]cdto 2016_2'!F19</f>
        <v>0</v>
      </c>
      <c r="CS415" s="43">
        <v>0</v>
      </c>
      <c r="CT415" s="43">
        <f>'[12]crdto 2017_1'!F19</f>
        <v>0</v>
      </c>
      <c r="CU415" s="43">
        <f>+'[12]cdto 2016_2'!F20</f>
        <v>0</v>
      </c>
      <c r="CV415" s="43">
        <v>0</v>
      </c>
      <c r="CW415" s="43">
        <f>'[12]crdto 2017_1'!F20</f>
        <v>0</v>
      </c>
      <c r="CX415" s="43">
        <f>+'[12]cdto 2016_2'!F21</f>
        <v>0</v>
      </c>
      <c r="CY415" s="43">
        <v>0</v>
      </c>
      <c r="CZ415" s="43">
        <f>'[12]crdto 2017_1'!F21</f>
        <v>0</v>
      </c>
      <c r="DA415" s="43">
        <v>0</v>
      </c>
      <c r="DB415" s="43">
        <v>0</v>
      </c>
      <c r="DC415" s="43">
        <f>'[12]crdto 2017_1'!F22</f>
        <v>0</v>
      </c>
      <c r="DD415" s="43">
        <f>+'crdto 2018_1'!F18</f>
        <v>0</v>
      </c>
      <c r="DE415" s="43">
        <v>0</v>
      </c>
      <c r="DF415" s="43">
        <v>0</v>
      </c>
      <c r="DG415" s="43">
        <f>+'crdto 2018_1'!F19</f>
        <v>0</v>
      </c>
      <c r="DH415" s="43">
        <v>0</v>
      </c>
      <c r="DI415" s="43">
        <v>0</v>
      </c>
      <c r="DJ415" s="43">
        <f>+'crdto 2018_3'!F18+'crdto 2018_1'!F20</f>
        <v>4000</v>
      </c>
      <c r="DK415" s="43">
        <v>0</v>
      </c>
      <c r="DL415" s="43">
        <v>0</v>
      </c>
      <c r="DM415" s="43">
        <f>+'crdto 2018_3'!F19+'crdto 2018_1'!F21</f>
        <v>4000</v>
      </c>
      <c r="DN415" s="43">
        <v>0</v>
      </c>
      <c r="DO415" s="43">
        <v>0</v>
      </c>
      <c r="DP415" s="43">
        <f>+'crdto 2018_3'!F20+'crdto 2018_1'!F22</f>
        <v>4000</v>
      </c>
      <c r="DQ415" s="43">
        <v>0</v>
      </c>
      <c r="DR415" s="43">
        <v>0</v>
      </c>
      <c r="DS415" s="43">
        <f>+'crdto 2018_3'!F21+'crdto 2018_1'!F23</f>
        <v>4000</v>
      </c>
      <c r="DT415" s="43">
        <v>0</v>
      </c>
      <c r="DU415" s="43">
        <v>0</v>
      </c>
      <c r="DV415" s="43">
        <f>+'crdto 2018_3'!F22</f>
        <v>4000</v>
      </c>
      <c r="DW415" s="42">
        <f>SUM(G415:DV415)</f>
        <v>38609.413533999999</v>
      </c>
      <c r="DY415" s="76"/>
      <c r="DZ415" s="694">
        <f>+DZ414-DX384</f>
        <v>-8.6401996668428183E-11</v>
      </c>
      <c r="EA415" s="686"/>
      <c r="EB415" s="51"/>
      <c r="EC415" s="51"/>
      <c r="ER415" s="630"/>
      <c r="EV415" s="76"/>
    </row>
    <row r="416" spans="5:152" ht="14.25" x14ac:dyDescent="0.2">
      <c r="H416" s="43"/>
      <c r="I416" s="43"/>
      <c r="J416" s="43"/>
      <c r="K416" s="43"/>
      <c r="L416" s="43"/>
      <c r="M416" s="43"/>
      <c r="N416" s="43"/>
      <c r="O416" s="43"/>
      <c r="P416" s="43"/>
      <c r="Q416" s="43"/>
      <c r="R416" s="43"/>
      <c r="S416" s="43"/>
      <c r="T416" s="43"/>
      <c r="U416" s="43"/>
      <c r="V416" s="43"/>
      <c r="W416" s="43"/>
      <c r="X416" s="43">
        <v>0</v>
      </c>
      <c r="Y416" s="43"/>
      <c r="Z416" s="43"/>
      <c r="AA416" s="43">
        <v>0</v>
      </c>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3"/>
      <c r="BH416" s="43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c r="DK416" s="43"/>
      <c r="DL416" s="43"/>
      <c r="DM416" s="43"/>
      <c r="DN416" s="43"/>
      <c r="DO416" s="43"/>
      <c r="DP416" s="43"/>
      <c r="DQ416" s="43"/>
      <c r="DR416" s="43"/>
      <c r="DS416" s="43"/>
      <c r="DT416" s="43"/>
      <c r="DU416" s="43"/>
      <c r="DV416" s="43"/>
      <c r="DW416" s="76"/>
      <c r="DY416" s="67"/>
      <c r="DZ416" s="685"/>
      <c r="EA416" s="686"/>
      <c r="EB416" s="51"/>
      <c r="EC416" s="51"/>
      <c r="ER416" s="630"/>
    </row>
    <row r="417" spans="3:148" x14ac:dyDescent="0.2">
      <c r="E417" s="51" t="s">
        <v>224</v>
      </c>
      <c r="G417" s="43">
        <f t="shared" ref="G417:BR417" si="85">G410+G412-G414-G415</f>
        <v>-3.9999576983973384E-8</v>
      </c>
      <c r="H417" s="43">
        <f t="shared" si="85"/>
        <v>-9.605546438251622E-7</v>
      </c>
      <c r="I417" s="43">
        <f t="shared" si="85"/>
        <v>0</v>
      </c>
      <c r="J417" s="43">
        <f t="shared" si="85"/>
        <v>0</v>
      </c>
      <c r="K417" s="43">
        <f t="shared" si="85"/>
        <v>0</v>
      </c>
      <c r="L417" s="43">
        <f t="shared" si="85"/>
        <v>0</v>
      </c>
      <c r="M417" s="43">
        <f t="shared" si="85"/>
        <v>0</v>
      </c>
      <c r="N417" s="43">
        <f t="shared" si="85"/>
        <v>0</v>
      </c>
      <c r="O417" s="43">
        <f t="shared" si="85"/>
        <v>0</v>
      </c>
      <c r="P417" s="43">
        <f t="shared" si="85"/>
        <v>0</v>
      </c>
      <c r="Q417" s="43">
        <f t="shared" si="85"/>
        <v>697.43799999999999</v>
      </c>
      <c r="R417" s="43">
        <f t="shared" si="85"/>
        <v>-110.505015</v>
      </c>
      <c r="S417" s="43">
        <f t="shared" si="85"/>
        <v>-26.798509549999999</v>
      </c>
      <c r="T417" s="43">
        <f t="shared" si="85"/>
        <v>-77.325733159999999</v>
      </c>
      <c r="U417" s="43">
        <f t="shared" si="85"/>
        <v>-56.10479394</v>
      </c>
      <c r="V417" s="43">
        <f t="shared" si="85"/>
        <v>1022.4677836200001</v>
      </c>
      <c r="W417" s="43">
        <f t="shared" si="85"/>
        <v>719.20750418000011</v>
      </c>
      <c r="X417" s="43">
        <f t="shared" si="85"/>
        <v>3874.8309042600004</v>
      </c>
      <c r="Y417" s="43">
        <f t="shared" si="85"/>
        <v>-2258.7209939999998</v>
      </c>
      <c r="Z417" s="43">
        <f t="shared" si="85"/>
        <v>595.31378900000004</v>
      </c>
      <c r="AA417" s="43">
        <f t="shared" si="85"/>
        <v>-287.84180000000003</v>
      </c>
      <c r="AB417" s="43">
        <f t="shared" si="85"/>
        <v>-877.19100999999989</v>
      </c>
      <c r="AC417" s="43">
        <f t="shared" si="85"/>
        <v>-1051.2307040000001</v>
      </c>
      <c r="AD417" s="43">
        <f t="shared" si="85"/>
        <v>6272.1664500000006</v>
      </c>
      <c r="AE417" s="43">
        <f t="shared" si="85"/>
        <v>-2717.2495802000003</v>
      </c>
      <c r="AF417" s="43">
        <f t="shared" si="85"/>
        <v>-1393.2888476399999</v>
      </c>
      <c r="AG417" s="43">
        <f t="shared" si="85"/>
        <v>-1358.3080990200001</v>
      </c>
      <c r="AH417" s="43">
        <f t="shared" si="85"/>
        <v>-1502.5295167899999</v>
      </c>
      <c r="AI417" s="43">
        <f t="shared" si="85"/>
        <v>778.15477932000067</v>
      </c>
      <c r="AJ417" s="43">
        <f t="shared" si="85"/>
        <v>-473.02454299999999</v>
      </c>
      <c r="AK417" s="43">
        <f t="shared" si="85"/>
        <v>1357.8043598200002</v>
      </c>
      <c r="AL417" s="43">
        <f t="shared" si="85"/>
        <v>-1440.8922785599998</v>
      </c>
      <c r="AM417" s="43">
        <f t="shared" si="85"/>
        <v>14095.334652250001</v>
      </c>
      <c r="AN417" s="43">
        <f t="shared" si="85"/>
        <v>-1203.6800959999998</v>
      </c>
      <c r="AO417" s="43">
        <f t="shared" si="85"/>
        <v>-3180.4251519999998</v>
      </c>
      <c r="AP417" s="43">
        <f t="shared" si="85"/>
        <v>3166.6971275000005</v>
      </c>
      <c r="AQ417" s="43">
        <f t="shared" si="85"/>
        <v>-1771.3850899999998</v>
      </c>
      <c r="AR417" s="43">
        <f t="shared" si="85"/>
        <v>-248.71831099999991</v>
      </c>
      <c r="AS417" s="43">
        <f t="shared" si="85"/>
        <v>203.50528099999985</v>
      </c>
      <c r="AT417" s="43">
        <f t="shared" si="85"/>
        <v>-3544.1958250000007</v>
      </c>
      <c r="AU417" s="43">
        <f t="shared" si="85"/>
        <v>799.278683</v>
      </c>
      <c r="AV417" s="43">
        <f t="shared" si="85"/>
        <v>-10.452790999999934</v>
      </c>
      <c r="AW417" s="43">
        <f t="shared" si="85"/>
        <v>351.80855800000006</v>
      </c>
      <c r="AX417" s="43">
        <f t="shared" si="85"/>
        <v>-1150.6750960000002</v>
      </c>
      <c r="AY417" s="43">
        <f t="shared" si="85"/>
        <v>-915.02194225000039</v>
      </c>
      <c r="AZ417" s="43">
        <f t="shared" si="85"/>
        <v>7844.4537459080002</v>
      </c>
      <c r="BA417" s="43">
        <f t="shared" si="85"/>
        <v>-839.72529699999996</v>
      </c>
      <c r="BB417" s="43">
        <f t="shared" si="85"/>
        <v>-3720.4521767400001</v>
      </c>
      <c r="BC417" s="43">
        <f t="shared" si="85"/>
        <v>-11.25</v>
      </c>
      <c r="BD417" s="43">
        <f t="shared" si="85"/>
        <v>-1165.0293059999999</v>
      </c>
      <c r="BE417" s="43">
        <f t="shared" si="85"/>
        <v>222.98526399999992</v>
      </c>
      <c r="BF417" s="43">
        <f t="shared" si="85"/>
        <v>-4367.593382</v>
      </c>
      <c r="BG417" s="43">
        <f t="shared" si="85"/>
        <v>-1212.4703589999999</v>
      </c>
      <c r="BH417" s="43">
        <f t="shared" si="85"/>
        <v>-1941.732966</v>
      </c>
      <c r="BI417" s="43">
        <f t="shared" si="85"/>
        <v>-384.31534699999997</v>
      </c>
      <c r="BJ417" s="43">
        <f t="shared" si="85"/>
        <v>6821.0747504400006</v>
      </c>
      <c r="BK417" s="43">
        <f t="shared" si="85"/>
        <v>-409.20151299999998</v>
      </c>
      <c r="BL417" s="43">
        <f t="shared" si="85"/>
        <v>3560.6407955600002</v>
      </c>
      <c r="BM417" s="43">
        <f t="shared" si="85"/>
        <v>-1421.644984</v>
      </c>
      <c r="BN417" s="43">
        <f t="shared" si="85"/>
        <v>2332.6870390000004</v>
      </c>
      <c r="BO417" s="43">
        <f t="shared" si="85"/>
        <v>-3342.83961658</v>
      </c>
      <c r="BP417" s="43">
        <f t="shared" si="85"/>
        <v>-3447.3499552399999</v>
      </c>
      <c r="BQ417" s="43">
        <f t="shared" si="85"/>
        <v>-1606.8982470000001</v>
      </c>
      <c r="BR417" s="43">
        <f t="shared" si="85"/>
        <v>-1356.7310446200001</v>
      </c>
      <c r="BS417" s="43">
        <f t="shared" ref="BS417:DV417" si="86">BS410+BS412-BS414-BS415</f>
        <v>5513.7030189999996</v>
      </c>
      <c r="BT417" s="43">
        <f t="shared" si="86"/>
        <v>-365.99358800000005</v>
      </c>
      <c r="BU417" s="43">
        <f t="shared" si="86"/>
        <v>-2894.5377776200003</v>
      </c>
      <c r="BV417" s="43">
        <f t="shared" si="86"/>
        <v>-1985.2958672300001</v>
      </c>
      <c r="BW417" s="43">
        <f t="shared" si="86"/>
        <v>18150.155577000001</v>
      </c>
      <c r="BX417" s="43">
        <f t="shared" si="86"/>
        <v>-1798.3043640000001</v>
      </c>
      <c r="BY417" s="43">
        <f t="shared" si="86"/>
        <v>5799.8292700000002</v>
      </c>
      <c r="BZ417" s="43">
        <f t="shared" si="86"/>
        <v>-2120.4698579999999</v>
      </c>
      <c r="CA417" s="43">
        <f t="shared" si="86"/>
        <v>-251.62536399999999</v>
      </c>
      <c r="CB417" s="43">
        <f t="shared" si="86"/>
        <v>-749.49652700000001</v>
      </c>
      <c r="CC417" s="43">
        <f t="shared" si="86"/>
        <v>-1193.4835640000001</v>
      </c>
      <c r="CD417" s="43">
        <f t="shared" si="86"/>
        <v>-1518.5921619999999</v>
      </c>
      <c r="CE417" s="43">
        <f t="shared" si="86"/>
        <v>-2044.7849131099999</v>
      </c>
      <c r="CF417" s="43">
        <f t="shared" si="86"/>
        <v>1603.21626511</v>
      </c>
      <c r="CG417" s="43">
        <f t="shared" si="86"/>
        <v>-1496.7943029999999</v>
      </c>
      <c r="CH417" s="43">
        <f t="shared" si="86"/>
        <v>-958.38698804000001</v>
      </c>
      <c r="CI417" s="43">
        <f t="shared" si="86"/>
        <v>-2003.5027810000001</v>
      </c>
      <c r="CJ417" s="43">
        <f t="shared" si="86"/>
        <v>53.755572000000029</v>
      </c>
      <c r="CK417" s="43">
        <f t="shared" si="86"/>
        <v>-1271.525889</v>
      </c>
      <c r="CL417" s="43">
        <f t="shared" si="86"/>
        <v>-2298.5245420000001</v>
      </c>
      <c r="CM417" s="43">
        <f t="shared" si="86"/>
        <v>-192.02335299999999</v>
      </c>
      <c r="CN417" s="43">
        <f t="shared" si="86"/>
        <v>8958.5390349999998</v>
      </c>
      <c r="CO417" s="43">
        <f t="shared" si="86"/>
        <v>-658.48936900000001</v>
      </c>
      <c r="CP417" s="43">
        <f t="shared" si="86"/>
        <v>-2344.8891739999999</v>
      </c>
      <c r="CQ417" s="43">
        <f t="shared" si="86"/>
        <v>-192.35630399999999</v>
      </c>
      <c r="CR417" s="43">
        <f t="shared" si="86"/>
        <v>-3206.773424</v>
      </c>
      <c r="CS417" s="43">
        <f t="shared" si="86"/>
        <v>-4318.4802149999996</v>
      </c>
      <c r="CT417" s="43">
        <f t="shared" si="86"/>
        <v>37.747028</v>
      </c>
      <c r="CU417" s="43">
        <f t="shared" si="86"/>
        <v>-434.90724100000034</v>
      </c>
      <c r="CV417" s="43">
        <f t="shared" si="86"/>
        <v>2933.9856650000002</v>
      </c>
      <c r="CW417" s="43">
        <f t="shared" si="86"/>
        <v>-114.79060600000001</v>
      </c>
      <c r="CX417" s="43">
        <f t="shared" si="86"/>
        <v>-2036.5357489999999</v>
      </c>
      <c r="CY417" s="43">
        <f t="shared" si="86"/>
        <v>-143.6492760000003</v>
      </c>
      <c r="CZ417" s="43">
        <f t="shared" si="86"/>
        <v>-146.80693499999998</v>
      </c>
      <c r="DA417" s="43">
        <f t="shared" si="86"/>
        <v>-1452.6870839999999</v>
      </c>
      <c r="DB417" s="43">
        <f t="shared" si="86"/>
        <v>-164.27599600000002</v>
      </c>
      <c r="DC417" s="43">
        <f t="shared" si="86"/>
        <v>-1451.0342589999998</v>
      </c>
      <c r="DD417" s="43">
        <f t="shared" si="86"/>
        <v>-879.82824900000003</v>
      </c>
      <c r="DE417" s="43">
        <f t="shared" si="86"/>
        <v>-1241.8056779999997</v>
      </c>
      <c r="DF417" s="43">
        <f t="shared" si="86"/>
        <v>9099.9615445454056</v>
      </c>
      <c r="DG417" s="43">
        <f t="shared" si="86"/>
        <v>17970.435280547103</v>
      </c>
      <c r="DH417" s="43">
        <f t="shared" si="86"/>
        <v>-2468.7866884282889</v>
      </c>
      <c r="DI417" s="43">
        <f t="shared" si="86"/>
        <v>-2657.3174905271349</v>
      </c>
      <c r="DJ417" s="43">
        <f>DJ410+DJ412-DJ414-DJ415</f>
        <v>14230.456930343335</v>
      </c>
      <c r="DK417" s="43">
        <f t="shared" si="86"/>
        <v>-5634.1877458885647</v>
      </c>
      <c r="DL417" s="43">
        <f t="shared" si="86"/>
        <v>-3982.1345864868485</v>
      </c>
      <c r="DM417" s="43">
        <f t="shared" si="86"/>
        <v>-12995.618344698973</v>
      </c>
      <c r="DN417" s="43">
        <f t="shared" si="86"/>
        <v>-6108.2320490800957</v>
      </c>
      <c r="DO417" s="43">
        <f t="shared" si="86"/>
        <v>-5373.7423163890608</v>
      </c>
      <c r="DP417" s="43">
        <f t="shared" si="86"/>
        <v>3402.260693841642</v>
      </c>
      <c r="DQ417" s="43">
        <f t="shared" si="86"/>
        <v>-3405.9148187139135</v>
      </c>
      <c r="DR417" s="43">
        <f t="shared" si="86"/>
        <v>-2455.6252851249724</v>
      </c>
      <c r="DS417" s="43">
        <f t="shared" si="86"/>
        <v>3349.7592468867433</v>
      </c>
      <c r="DT417" s="43">
        <f t="shared" si="86"/>
        <v>-3105.6436352994083</v>
      </c>
      <c r="DU417" s="43">
        <f t="shared" si="86"/>
        <v>-4428.7303973088992</v>
      </c>
      <c r="DV417" s="43">
        <f t="shared" si="86"/>
        <v>1924.4031817896748</v>
      </c>
      <c r="DW417" s="43"/>
      <c r="DZ417" s="51"/>
      <c r="EA417" s="51"/>
      <c r="EB417" s="51"/>
      <c r="EC417" s="51"/>
      <c r="ER417" s="630"/>
    </row>
    <row r="418" spans="3:148" ht="14.25" x14ac:dyDescent="0.2">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3"/>
      <c r="BH418" s="43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c r="DK418" s="43"/>
      <c r="DL418" s="43"/>
      <c r="DM418" s="43"/>
      <c r="DN418" s="43"/>
      <c r="DO418" s="43"/>
      <c r="DP418" s="43"/>
      <c r="DQ418" s="43"/>
      <c r="DR418" s="43"/>
      <c r="DS418" s="43"/>
      <c r="DT418" s="43"/>
      <c r="DU418" s="43"/>
      <c r="DV418" s="43"/>
      <c r="DW418" s="43"/>
      <c r="DY418" s="76"/>
      <c r="DZ418" s="51"/>
      <c r="EA418" s="67"/>
      <c r="EB418" s="51"/>
      <c r="EC418" s="51"/>
    </row>
    <row r="419" spans="3:148" ht="14.25" x14ac:dyDescent="0.2">
      <c r="E419" s="51" t="s">
        <v>225</v>
      </c>
      <c r="F419" s="51">
        <v>0</v>
      </c>
      <c r="G419" s="43">
        <f t="shared" ref="G419:BR419" si="87">F420</f>
        <v>0</v>
      </c>
      <c r="H419" s="43">
        <f t="shared" si="87"/>
        <v>-3.9999576983973384E-8</v>
      </c>
      <c r="I419" s="43">
        <f t="shared" si="87"/>
        <v>-1.0005542208091356E-6</v>
      </c>
      <c r="J419" s="43">
        <f t="shared" si="87"/>
        <v>-1.0005542208091356E-6</v>
      </c>
      <c r="K419" s="43">
        <f t="shared" si="87"/>
        <v>-1.0005542208091356E-6</v>
      </c>
      <c r="L419" s="43">
        <f t="shared" si="87"/>
        <v>-1.0005542208091356E-6</v>
      </c>
      <c r="M419" s="43">
        <f t="shared" si="87"/>
        <v>-1.0005542208091356E-6</v>
      </c>
      <c r="N419" s="43">
        <f t="shared" si="87"/>
        <v>-1.0005542208091356E-6</v>
      </c>
      <c r="O419" s="43">
        <f t="shared" si="87"/>
        <v>-1.0005542208091356E-6</v>
      </c>
      <c r="P419" s="43">
        <f t="shared" si="87"/>
        <v>-1.0005542208091356E-6</v>
      </c>
      <c r="Q419" s="43">
        <f t="shared" si="87"/>
        <v>-1.0005542208091356E-6</v>
      </c>
      <c r="R419" s="43">
        <f t="shared" si="87"/>
        <v>697.43799899944577</v>
      </c>
      <c r="S419" s="43">
        <f>R420</f>
        <v>586.93298399944581</v>
      </c>
      <c r="T419" s="43">
        <f t="shared" si="87"/>
        <v>560.13447444944586</v>
      </c>
      <c r="U419" s="43">
        <f t="shared" si="87"/>
        <v>482.80874128944583</v>
      </c>
      <c r="V419" s="43">
        <f t="shared" si="87"/>
        <v>426.70394734944585</v>
      </c>
      <c r="W419" s="43">
        <f t="shared" si="87"/>
        <v>1449.1717309694459</v>
      </c>
      <c r="X419" s="43">
        <f t="shared" si="87"/>
        <v>2168.3792351494458</v>
      </c>
      <c r="Y419" s="43">
        <f t="shared" si="87"/>
        <v>6043.2101394094461</v>
      </c>
      <c r="Z419" s="43">
        <f t="shared" si="87"/>
        <v>3784.4891454094463</v>
      </c>
      <c r="AA419" s="43">
        <f t="shared" si="87"/>
        <v>4379.8029344094466</v>
      </c>
      <c r="AB419" s="43">
        <f t="shared" si="87"/>
        <v>4091.9611344094465</v>
      </c>
      <c r="AC419" s="43">
        <f t="shared" si="87"/>
        <v>3214.7701244094465</v>
      </c>
      <c r="AD419" s="43">
        <f t="shared" si="87"/>
        <v>2163.5394204094464</v>
      </c>
      <c r="AE419" s="43">
        <f t="shared" si="87"/>
        <v>8435.705870409447</v>
      </c>
      <c r="AF419" s="43">
        <f t="shared" si="87"/>
        <v>5718.4562902094467</v>
      </c>
      <c r="AG419" s="43">
        <f t="shared" si="87"/>
        <v>4325.1674425694473</v>
      </c>
      <c r="AH419" s="43">
        <f t="shared" si="87"/>
        <v>2966.8593435494472</v>
      </c>
      <c r="AI419" s="43">
        <f>AH420</f>
        <v>1464.3298267594473</v>
      </c>
      <c r="AJ419" s="43">
        <f>AI420</f>
        <v>2242.484606079448</v>
      </c>
      <c r="AK419" s="43">
        <f t="shared" si="87"/>
        <v>1769.460063079448</v>
      </c>
      <c r="AL419" s="43">
        <f t="shared" si="87"/>
        <v>3127.2644228994482</v>
      </c>
      <c r="AM419" s="43">
        <f t="shared" si="87"/>
        <v>1686.3721443394484</v>
      </c>
      <c r="AN419" s="43">
        <f t="shared" si="87"/>
        <v>15781.706796589449</v>
      </c>
      <c r="AO419" s="43">
        <f t="shared" si="87"/>
        <v>14578.026700589449</v>
      </c>
      <c r="AP419" s="43">
        <f t="shared" si="87"/>
        <v>11397.60154858945</v>
      </c>
      <c r="AQ419" s="43">
        <f t="shared" si="87"/>
        <v>14564.298676089449</v>
      </c>
      <c r="AR419" s="43">
        <f t="shared" si="87"/>
        <v>12792.913586089449</v>
      </c>
      <c r="AS419" s="43">
        <f t="shared" si="87"/>
        <v>12544.195275089449</v>
      </c>
      <c r="AT419" s="43">
        <f t="shared" si="87"/>
        <v>12747.700556089449</v>
      </c>
      <c r="AU419" s="43">
        <f t="shared" si="87"/>
        <v>9203.5047310894479</v>
      </c>
      <c r="AV419" s="43">
        <f t="shared" si="87"/>
        <v>10002.783414089448</v>
      </c>
      <c r="AW419" s="43">
        <f t="shared" si="87"/>
        <v>9992.3306230894486</v>
      </c>
      <c r="AX419" s="43">
        <f t="shared" si="87"/>
        <v>10344.139181089449</v>
      </c>
      <c r="AY419" s="43">
        <f t="shared" si="87"/>
        <v>9193.4640850894484</v>
      </c>
      <c r="AZ419" s="43">
        <f t="shared" si="87"/>
        <v>8278.4421428394489</v>
      </c>
      <c r="BA419" s="43">
        <f t="shared" si="87"/>
        <v>16122.895888747449</v>
      </c>
      <c r="BB419" s="43">
        <f t="shared" si="87"/>
        <v>15283.17059174745</v>
      </c>
      <c r="BC419" s="43">
        <f t="shared" si="87"/>
        <v>11562.71841500745</v>
      </c>
      <c r="BD419" s="43">
        <f t="shared" si="87"/>
        <v>11551.46841500745</v>
      </c>
      <c r="BE419" s="43">
        <f t="shared" si="87"/>
        <v>10386.43910900745</v>
      </c>
      <c r="BF419" s="43">
        <f t="shared" si="87"/>
        <v>10609.424373007449</v>
      </c>
      <c r="BG419" s="433">
        <f t="shared" si="87"/>
        <v>6241.8309910074486</v>
      </c>
      <c r="BH419" s="433">
        <f t="shared" si="87"/>
        <v>5029.3606320074487</v>
      </c>
      <c r="BI419" s="43">
        <f t="shared" si="87"/>
        <v>3087.6276660074486</v>
      </c>
      <c r="BJ419" s="43">
        <f t="shared" si="87"/>
        <v>2703.3123190074484</v>
      </c>
      <c r="BK419" s="43">
        <f t="shared" si="87"/>
        <v>9524.3870694474499</v>
      </c>
      <c r="BL419" s="43">
        <f t="shared" si="87"/>
        <v>9115.1855564474499</v>
      </c>
      <c r="BM419" s="43">
        <f t="shared" si="87"/>
        <v>12675.826352007451</v>
      </c>
      <c r="BN419" s="43">
        <f t="shared" si="87"/>
        <v>11254.18136800745</v>
      </c>
      <c r="BO419" s="43">
        <f t="shared" si="87"/>
        <v>13586.868407007451</v>
      </c>
      <c r="BP419" s="43">
        <f t="shared" si="87"/>
        <v>10244.02879042745</v>
      </c>
      <c r="BQ419" s="43">
        <f t="shared" si="87"/>
        <v>6796.6788351874502</v>
      </c>
      <c r="BR419" s="43">
        <f t="shared" si="87"/>
        <v>5189.7805881874501</v>
      </c>
      <c r="BS419" s="43">
        <f t="shared" ref="BS419:CK419" si="88">BR420</f>
        <v>3833.0495435674502</v>
      </c>
      <c r="BT419" s="43">
        <f t="shared" si="88"/>
        <v>9346.7525625674498</v>
      </c>
      <c r="BU419" s="43">
        <f t="shared" si="88"/>
        <v>8980.7589745674504</v>
      </c>
      <c r="BV419" s="43">
        <f t="shared" si="88"/>
        <v>6086.2211969474502</v>
      </c>
      <c r="BW419" s="43">
        <f t="shared" si="88"/>
        <v>4100.92532971745</v>
      </c>
      <c r="BX419" s="43">
        <f t="shared" si="88"/>
        <v>22251.080906717452</v>
      </c>
      <c r="BY419" s="43">
        <f t="shared" si="88"/>
        <v>20452.776542717453</v>
      </c>
      <c r="BZ419" s="43">
        <f t="shared" si="88"/>
        <v>26252.605812717455</v>
      </c>
      <c r="CA419" s="43">
        <f t="shared" si="88"/>
        <v>24132.135954717454</v>
      </c>
      <c r="CB419" s="43">
        <f t="shared" si="88"/>
        <v>23880.510590717455</v>
      </c>
      <c r="CC419" s="43">
        <f t="shared" si="88"/>
        <v>23131.014063717455</v>
      </c>
      <c r="CD419" s="43">
        <f t="shared" si="88"/>
        <v>21937.530499717453</v>
      </c>
      <c r="CE419" s="43">
        <f t="shared" si="88"/>
        <v>20418.938337717453</v>
      </c>
      <c r="CF419" s="43">
        <f t="shared" si="88"/>
        <v>18374.153424607452</v>
      </c>
      <c r="CG419" s="43">
        <f t="shared" si="88"/>
        <v>19977.369689717452</v>
      </c>
      <c r="CH419" s="43">
        <f t="shared" si="88"/>
        <v>18480.575386717454</v>
      </c>
      <c r="CI419" s="43">
        <f t="shared" si="88"/>
        <v>17522.188398677452</v>
      </c>
      <c r="CJ419" s="43">
        <f t="shared" si="88"/>
        <v>15518.685617677453</v>
      </c>
      <c r="CK419" s="43">
        <f t="shared" si="88"/>
        <v>15572.441189677453</v>
      </c>
      <c r="CL419" s="43">
        <f>CK420</f>
        <v>14300.915300677452</v>
      </c>
      <c r="CM419" s="43">
        <f t="shared" ref="CM419:CY419" si="89">CL420</f>
        <v>12002.390758677451</v>
      </c>
      <c r="CN419" s="43">
        <f t="shared" si="89"/>
        <v>11810.367405677451</v>
      </c>
      <c r="CO419" s="43">
        <f t="shared" si="89"/>
        <v>20768.906440677449</v>
      </c>
      <c r="CP419" s="43">
        <f t="shared" si="89"/>
        <v>20110.41707167745</v>
      </c>
      <c r="CQ419" s="43">
        <f t="shared" si="89"/>
        <v>17765.52789767745</v>
      </c>
      <c r="CR419" s="43">
        <f t="shared" si="89"/>
        <v>17573.171593677449</v>
      </c>
      <c r="CS419" s="43">
        <f t="shared" si="89"/>
        <v>14366.39816967745</v>
      </c>
      <c r="CT419" s="43">
        <f t="shared" si="89"/>
        <v>10047.91795467745</v>
      </c>
      <c r="CU419" s="43">
        <f t="shared" si="89"/>
        <v>10085.66498267745</v>
      </c>
      <c r="CV419" s="43">
        <f t="shared" si="89"/>
        <v>9650.7577416774493</v>
      </c>
      <c r="CW419" s="43">
        <f t="shared" si="89"/>
        <v>12584.743406677449</v>
      </c>
      <c r="CX419" s="43">
        <f t="shared" si="89"/>
        <v>12469.952800677449</v>
      </c>
      <c r="CY419" s="43">
        <f t="shared" si="89"/>
        <v>10433.417051677448</v>
      </c>
      <c r="CZ419" s="43">
        <f t="shared" ref="CZ419:DV419" si="90">CY420</f>
        <v>10289.767775677448</v>
      </c>
      <c r="DA419" s="43">
        <f t="shared" si="90"/>
        <v>10142.960840677448</v>
      </c>
      <c r="DB419" s="43">
        <f t="shared" si="90"/>
        <v>8690.2737566774485</v>
      </c>
      <c r="DC419" s="43">
        <f t="shared" si="90"/>
        <v>8525.9977606774482</v>
      </c>
      <c r="DD419" s="43">
        <f t="shared" si="90"/>
        <v>7074.9635016774482</v>
      </c>
      <c r="DE419" s="43">
        <f t="shared" si="90"/>
        <v>6195.1352526774481</v>
      </c>
      <c r="DF419" s="43">
        <f t="shared" si="90"/>
        <v>4953.3295746774484</v>
      </c>
      <c r="DG419" s="43">
        <f t="shared" si="90"/>
        <v>14053.291119222853</v>
      </c>
      <c r="DH419" s="43">
        <f t="shared" si="90"/>
        <v>32023.726399769956</v>
      </c>
      <c r="DI419" s="43">
        <f t="shared" si="90"/>
        <v>29554.939711341667</v>
      </c>
      <c r="DJ419" s="43">
        <f t="shared" si="90"/>
        <v>26897.622220814534</v>
      </c>
      <c r="DK419" s="43">
        <f t="shared" si="90"/>
        <v>41128.079151157872</v>
      </c>
      <c r="DL419" s="43">
        <f t="shared" si="90"/>
        <v>35493.891405269307</v>
      </c>
      <c r="DM419" s="43">
        <f t="shared" si="90"/>
        <v>31511.756818782458</v>
      </c>
      <c r="DN419" s="43">
        <f t="shared" si="90"/>
        <v>18516.138474083484</v>
      </c>
      <c r="DO419" s="43">
        <f t="shared" si="90"/>
        <v>12407.906425003388</v>
      </c>
      <c r="DP419" s="43">
        <f t="shared" si="90"/>
        <v>7034.1641086143272</v>
      </c>
      <c r="DQ419" s="43">
        <f t="shared" si="90"/>
        <v>10436.424802455969</v>
      </c>
      <c r="DR419" s="43">
        <f t="shared" si="90"/>
        <v>7030.5099837420557</v>
      </c>
      <c r="DS419" s="43">
        <f t="shared" si="90"/>
        <v>4574.8846986170829</v>
      </c>
      <c r="DT419" s="43">
        <f t="shared" si="90"/>
        <v>7924.6439455038262</v>
      </c>
      <c r="DU419" s="43">
        <f t="shared" si="90"/>
        <v>4819.0003102044175</v>
      </c>
      <c r="DV419" s="43">
        <f t="shared" si="90"/>
        <v>390.26991289551825</v>
      </c>
      <c r="DW419" s="43"/>
      <c r="DZ419" s="67"/>
      <c r="EA419" s="51"/>
      <c r="EB419" s="51"/>
      <c r="EC419" s="51"/>
    </row>
    <row r="420" spans="3:148" ht="15" x14ac:dyDescent="0.25">
      <c r="E420" s="79" t="s">
        <v>226</v>
      </c>
      <c r="F420" s="49"/>
      <c r="G420" s="80">
        <f t="shared" ref="G420:BS420" si="91">G417+G419</f>
        <v>-3.9999576983973384E-8</v>
      </c>
      <c r="H420" s="80">
        <f t="shared" si="91"/>
        <v>-1.0005542208091356E-6</v>
      </c>
      <c r="I420" s="80">
        <f t="shared" si="91"/>
        <v>-1.0005542208091356E-6</v>
      </c>
      <c r="J420" s="80">
        <f t="shared" si="91"/>
        <v>-1.0005542208091356E-6</v>
      </c>
      <c r="K420" s="80">
        <f t="shared" si="91"/>
        <v>-1.0005542208091356E-6</v>
      </c>
      <c r="L420" s="80">
        <f t="shared" si="91"/>
        <v>-1.0005542208091356E-6</v>
      </c>
      <c r="M420" s="80">
        <f t="shared" si="91"/>
        <v>-1.0005542208091356E-6</v>
      </c>
      <c r="N420" s="80">
        <f t="shared" si="91"/>
        <v>-1.0005542208091356E-6</v>
      </c>
      <c r="O420" s="80">
        <f t="shared" si="91"/>
        <v>-1.0005542208091356E-6</v>
      </c>
      <c r="P420" s="80">
        <f t="shared" si="91"/>
        <v>-1.0005542208091356E-6</v>
      </c>
      <c r="Q420" s="80">
        <f t="shared" si="91"/>
        <v>697.43799899944577</v>
      </c>
      <c r="R420" s="80">
        <f t="shared" si="91"/>
        <v>586.93298399944581</v>
      </c>
      <c r="S420" s="80">
        <f t="shared" si="91"/>
        <v>560.13447444944586</v>
      </c>
      <c r="T420" s="80">
        <f t="shared" si="91"/>
        <v>482.80874128944583</v>
      </c>
      <c r="U420" s="80">
        <f t="shared" si="91"/>
        <v>426.70394734944585</v>
      </c>
      <c r="V420" s="80">
        <f t="shared" si="91"/>
        <v>1449.1717309694459</v>
      </c>
      <c r="W420" s="80">
        <f t="shared" si="91"/>
        <v>2168.3792351494458</v>
      </c>
      <c r="X420" s="80">
        <f t="shared" si="91"/>
        <v>6043.2101394094461</v>
      </c>
      <c r="Y420" s="80">
        <f t="shared" si="91"/>
        <v>3784.4891454094463</v>
      </c>
      <c r="Z420" s="80">
        <f t="shared" si="91"/>
        <v>4379.8029344094466</v>
      </c>
      <c r="AA420" s="80">
        <f t="shared" si="91"/>
        <v>4091.9611344094465</v>
      </c>
      <c r="AB420" s="80">
        <f t="shared" si="91"/>
        <v>3214.7701244094465</v>
      </c>
      <c r="AC420" s="80">
        <f t="shared" si="91"/>
        <v>2163.5394204094464</v>
      </c>
      <c r="AD420" s="80">
        <f t="shared" si="91"/>
        <v>8435.705870409447</v>
      </c>
      <c r="AE420" s="80">
        <f t="shared" si="91"/>
        <v>5718.4562902094467</v>
      </c>
      <c r="AF420" s="80">
        <f t="shared" si="91"/>
        <v>4325.1674425694473</v>
      </c>
      <c r="AG420" s="80">
        <f t="shared" si="91"/>
        <v>2966.8593435494472</v>
      </c>
      <c r="AH420" s="80">
        <f t="shared" si="91"/>
        <v>1464.3298267594473</v>
      </c>
      <c r="AI420" s="80">
        <f>AI417+AI419</f>
        <v>2242.484606079448</v>
      </c>
      <c r="AJ420" s="80">
        <f>AJ417+AJ419</f>
        <v>1769.460063079448</v>
      </c>
      <c r="AK420" s="80">
        <f t="shared" si="91"/>
        <v>3127.2644228994482</v>
      </c>
      <c r="AL420" s="80">
        <f t="shared" si="91"/>
        <v>1686.3721443394484</v>
      </c>
      <c r="AM420" s="80">
        <f t="shared" si="91"/>
        <v>15781.706796589449</v>
      </c>
      <c r="AN420" s="80">
        <f t="shared" si="91"/>
        <v>14578.026700589449</v>
      </c>
      <c r="AO420" s="80">
        <f t="shared" si="91"/>
        <v>11397.60154858945</v>
      </c>
      <c r="AP420" s="80">
        <f>AP417+AP419</f>
        <v>14564.298676089449</v>
      </c>
      <c r="AQ420" s="80">
        <f t="shared" si="91"/>
        <v>12792.913586089449</v>
      </c>
      <c r="AR420" s="80">
        <f t="shared" si="91"/>
        <v>12544.195275089449</v>
      </c>
      <c r="AS420" s="80">
        <f t="shared" si="91"/>
        <v>12747.700556089449</v>
      </c>
      <c r="AT420" s="80">
        <f t="shared" si="91"/>
        <v>9203.5047310894479</v>
      </c>
      <c r="AU420" s="80">
        <f t="shared" si="91"/>
        <v>10002.783414089448</v>
      </c>
      <c r="AV420" s="80">
        <f t="shared" si="91"/>
        <v>9992.3306230894486</v>
      </c>
      <c r="AW420" s="80">
        <f t="shared" si="91"/>
        <v>10344.139181089449</v>
      </c>
      <c r="AX420" s="80">
        <f t="shared" si="91"/>
        <v>9193.4640850894484</v>
      </c>
      <c r="AY420" s="80">
        <f>AY417+AY419</f>
        <v>8278.4421428394489</v>
      </c>
      <c r="AZ420" s="80">
        <f t="shared" si="91"/>
        <v>16122.895888747449</v>
      </c>
      <c r="BA420" s="80">
        <f t="shared" si="91"/>
        <v>15283.17059174745</v>
      </c>
      <c r="BB420" s="80">
        <f t="shared" si="91"/>
        <v>11562.71841500745</v>
      </c>
      <c r="BC420" s="80">
        <f t="shared" si="91"/>
        <v>11551.46841500745</v>
      </c>
      <c r="BD420" s="80">
        <f t="shared" si="91"/>
        <v>10386.43910900745</v>
      </c>
      <c r="BE420" s="80">
        <f t="shared" si="91"/>
        <v>10609.424373007449</v>
      </c>
      <c r="BF420" s="80">
        <f t="shared" si="91"/>
        <v>6241.8309910074486</v>
      </c>
      <c r="BG420" s="436">
        <f t="shared" si="91"/>
        <v>5029.3606320074487</v>
      </c>
      <c r="BH420" s="436">
        <f t="shared" si="91"/>
        <v>3087.6276660074486</v>
      </c>
      <c r="BI420" s="80">
        <f t="shared" si="91"/>
        <v>2703.3123190074484</v>
      </c>
      <c r="BJ420" s="80">
        <f t="shared" si="91"/>
        <v>9524.3870694474499</v>
      </c>
      <c r="BK420" s="80">
        <f t="shared" si="91"/>
        <v>9115.1855564474499</v>
      </c>
      <c r="BL420" s="80">
        <f t="shared" si="91"/>
        <v>12675.826352007451</v>
      </c>
      <c r="BM420" s="80">
        <f t="shared" si="91"/>
        <v>11254.18136800745</v>
      </c>
      <c r="BN420" s="80">
        <f t="shared" si="91"/>
        <v>13586.868407007451</v>
      </c>
      <c r="BO420" s="80">
        <f t="shared" si="91"/>
        <v>10244.02879042745</v>
      </c>
      <c r="BP420" s="80">
        <f t="shared" si="91"/>
        <v>6796.6788351874502</v>
      </c>
      <c r="BQ420" s="80">
        <f t="shared" si="91"/>
        <v>5189.7805881874501</v>
      </c>
      <c r="BR420" s="80">
        <f t="shared" si="91"/>
        <v>3833.0495435674502</v>
      </c>
      <c r="BS420" s="80">
        <f t="shared" si="91"/>
        <v>9346.7525625674498</v>
      </c>
      <c r="BT420" s="80">
        <f t="shared" ref="BT420:CK420" si="92">BT417+BT419</f>
        <v>8980.7589745674504</v>
      </c>
      <c r="BU420" s="80">
        <f t="shared" si="92"/>
        <v>6086.2211969474502</v>
      </c>
      <c r="BV420" s="80">
        <f t="shared" si="92"/>
        <v>4100.92532971745</v>
      </c>
      <c r="BW420" s="80">
        <f t="shared" si="92"/>
        <v>22251.080906717452</v>
      </c>
      <c r="BX420" s="80">
        <f t="shared" si="92"/>
        <v>20452.776542717453</v>
      </c>
      <c r="BY420" s="80">
        <f t="shared" si="92"/>
        <v>26252.605812717455</v>
      </c>
      <c r="BZ420" s="80">
        <f t="shared" si="92"/>
        <v>24132.135954717454</v>
      </c>
      <c r="CA420" s="80">
        <f t="shared" si="92"/>
        <v>23880.510590717455</v>
      </c>
      <c r="CB420" s="80">
        <f t="shared" si="92"/>
        <v>23131.014063717455</v>
      </c>
      <c r="CC420" s="80">
        <f>CC417+CC419</f>
        <v>21937.530499717453</v>
      </c>
      <c r="CD420" s="80">
        <f t="shared" si="92"/>
        <v>20418.938337717453</v>
      </c>
      <c r="CE420" s="80">
        <f t="shared" si="92"/>
        <v>18374.153424607452</v>
      </c>
      <c r="CF420" s="80">
        <f t="shared" si="92"/>
        <v>19977.369689717452</v>
      </c>
      <c r="CG420" s="80">
        <f t="shared" si="92"/>
        <v>18480.575386717454</v>
      </c>
      <c r="CH420" s="80">
        <f t="shared" si="92"/>
        <v>17522.188398677452</v>
      </c>
      <c r="CI420" s="80">
        <f t="shared" si="92"/>
        <v>15518.685617677453</v>
      </c>
      <c r="CJ420" s="80">
        <f>CJ417+CJ419</f>
        <v>15572.441189677453</v>
      </c>
      <c r="CK420" s="80">
        <f t="shared" si="92"/>
        <v>14300.915300677452</v>
      </c>
      <c r="CL420" s="80">
        <f>CL417+CL419</f>
        <v>12002.390758677451</v>
      </c>
      <c r="CM420" s="80">
        <f>CM417+CM419</f>
        <v>11810.367405677451</v>
      </c>
      <c r="CN420" s="80">
        <f t="shared" ref="CN420:CX420" si="93">CN417+CN419</f>
        <v>20768.906440677449</v>
      </c>
      <c r="CO420" s="80">
        <f t="shared" si="93"/>
        <v>20110.41707167745</v>
      </c>
      <c r="CP420" s="80">
        <f t="shared" si="93"/>
        <v>17765.52789767745</v>
      </c>
      <c r="CQ420" s="80">
        <f t="shared" si="93"/>
        <v>17573.171593677449</v>
      </c>
      <c r="CR420" s="80">
        <f t="shared" si="93"/>
        <v>14366.39816967745</v>
      </c>
      <c r="CS420" s="80">
        <f t="shared" si="93"/>
        <v>10047.91795467745</v>
      </c>
      <c r="CT420" s="80">
        <f t="shared" si="93"/>
        <v>10085.66498267745</v>
      </c>
      <c r="CU420" s="80">
        <f t="shared" si="93"/>
        <v>9650.7577416774493</v>
      </c>
      <c r="CV420" s="80">
        <f t="shared" si="93"/>
        <v>12584.743406677449</v>
      </c>
      <c r="CW420" s="80">
        <f t="shared" si="93"/>
        <v>12469.952800677449</v>
      </c>
      <c r="CX420" s="80">
        <f t="shared" si="93"/>
        <v>10433.417051677448</v>
      </c>
      <c r="CY420" s="80">
        <f t="shared" ref="CY420:DU420" si="94">CY417+CY419</f>
        <v>10289.767775677448</v>
      </c>
      <c r="CZ420" s="80">
        <f t="shared" si="94"/>
        <v>10142.960840677448</v>
      </c>
      <c r="DA420" s="80">
        <f t="shared" si="94"/>
        <v>8690.2737566774485</v>
      </c>
      <c r="DB420" s="80">
        <f t="shared" si="94"/>
        <v>8525.9977606774482</v>
      </c>
      <c r="DC420" s="80">
        <f t="shared" si="94"/>
        <v>7074.9635016774482</v>
      </c>
      <c r="DD420" s="80">
        <f t="shared" si="94"/>
        <v>6195.1352526774481</v>
      </c>
      <c r="DE420" s="80">
        <f t="shared" si="94"/>
        <v>4953.3295746774484</v>
      </c>
      <c r="DF420" s="80">
        <f t="shared" si="94"/>
        <v>14053.291119222853</v>
      </c>
      <c r="DG420" s="80">
        <f t="shared" si="94"/>
        <v>32023.726399769956</v>
      </c>
      <c r="DH420" s="80">
        <f t="shared" si="94"/>
        <v>29554.939711341667</v>
      </c>
      <c r="DI420" s="80">
        <f t="shared" si="94"/>
        <v>26897.622220814534</v>
      </c>
      <c r="DJ420" s="80">
        <f t="shared" si="94"/>
        <v>41128.079151157872</v>
      </c>
      <c r="DK420" s="80">
        <f t="shared" si="94"/>
        <v>35493.891405269307</v>
      </c>
      <c r="DL420" s="80">
        <f t="shared" si="94"/>
        <v>31511.756818782458</v>
      </c>
      <c r="DM420" s="80">
        <f t="shared" si="94"/>
        <v>18516.138474083484</v>
      </c>
      <c r="DN420" s="80">
        <f t="shared" si="94"/>
        <v>12407.906425003388</v>
      </c>
      <c r="DO420" s="80">
        <f t="shared" si="94"/>
        <v>7034.1641086143272</v>
      </c>
      <c r="DP420" s="80">
        <f t="shared" si="94"/>
        <v>10436.424802455969</v>
      </c>
      <c r="DQ420" s="80">
        <f t="shared" si="94"/>
        <v>7030.5099837420557</v>
      </c>
      <c r="DR420" s="80">
        <f t="shared" si="94"/>
        <v>4574.8846986170829</v>
      </c>
      <c r="DS420" s="80">
        <f t="shared" si="94"/>
        <v>7924.6439455038262</v>
      </c>
      <c r="DT420" s="80">
        <f t="shared" si="94"/>
        <v>4819.0003102044175</v>
      </c>
      <c r="DU420" s="80">
        <f t="shared" si="94"/>
        <v>390.26991289551825</v>
      </c>
      <c r="DV420" s="80">
        <f>DV417+DV419</f>
        <v>2314.6730946851931</v>
      </c>
      <c r="DW420" s="77"/>
      <c r="DX420" s="76">
        <f>+DW414+DV420</f>
        <v>5688.1538586851975</v>
      </c>
      <c r="DZ420" s="76">
        <f>+DX384-DW414</f>
        <v>2314.6730946852795</v>
      </c>
      <c r="EA420" s="67"/>
      <c r="EB420" s="51"/>
      <c r="EC420" s="51"/>
    </row>
    <row r="421" spans="3:148" ht="15" x14ac:dyDescent="0.25">
      <c r="E421" s="79"/>
      <c r="F421" s="49"/>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L421" s="80"/>
      <c r="AM421" s="80"/>
      <c r="AN421" s="80"/>
      <c r="AO421" s="80"/>
      <c r="AP421" s="80"/>
      <c r="AQ421" s="80"/>
      <c r="AR421" s="80"/>
      <c r="AS421" s="80"/>
      <c r="AT421" s="80"/>
      <c r="AU421" s="80"/>
      <c r="AV421" s="80"/>
      <c r="AW421" s="80"/>
      <c r="AX421" s="80"/>
      <c r="AY421" s="80"/>
      <c r="AZ421" s="80"/>
      <c r="BA421" s="80"/>
      <c r="BB421" s="80"/>
      <c r="BC421" s="80"/>
      <c r="BD421" s="80"/>
      <c r="BE421" s="80"/>
      <c r="BF421" s="80"/>
      <c r="BG421" s="436"/>
      <c r="BH421" s="436"/>
      <c r="BI421" s="80"/>
      <c r="BJ421" s="80"/>
      <c r="BK421" s="80"/>
      <c r="BL421" s="80"/>
      <c r="BM421" s="80"/>
      <c r="BN421" s="80"/>
      <c r="BO421" s="80"/>
      <c r="BP421" s="80"/>
      <c r="BQ421" s="80"/>
      <c r="BR421" s="80"/>
      <c r="BS421" s="80"/>
      <c r="BT421" s="80"/>
      <c r="BU421" s="80"/>
      <c r="BV421" s="80"/>
      <c r="BW421" s="80"/>
      <c r="BX421" s="80"/>
      <c r="BY421" s="80"/>
      <c r="BZ421" s="80"/>
      <c r="CA421" s="80"/>
      <c r="CB421" s="80"/>
      <c r="CC421" s="80"/>
      <c r="CD421" s="80"/>
      <c r="CE421" s="80"/>
      <c r="CF421" s="80"/>
      <c r="CG421" s="80"/>
      <c r="CH421" s="80"/>
      <c r="CI421" s="80"/>
      <c r="CJ421" s="80"/>
      <c r="CK421" s="80"/>
      <c r="CL421" s="80"/>
      <c r="CM421" s="80"/>
      <c r="CN421" s="80"/>
      <c r="CO421" s="80"/>
      <c r="CP421" s="80"/>
      <c r="CQ421" s="80"/>
      <c r="CR421" s="80"/>
      <c r="CS421" s="80"/>
      <c r="CT421" s="80"/>
      <c r="CU421" s="80"/>
      <c r="CV421" s="80"/>
      <c r="CW421" s="80"/>
      <c r="CX421" s="80"/>
      <c r="CY421" s="80"/>
      <c r="CZ421" s="80"/>
      <c r="DA421" s="80"/>
      <c r="DB421" s="80"/>
      <c r="DC421" s="80"/>
      <c r="DD421" s="80"/>
      <c r="DE421" s="80"/>
      <c r="DF421" s="80"/>
      <c r="DG421" s="80"/>
      <c r="DH421" s="80"/>
      <c r="DI421" s="80"/>
      <c r="DJ421" s="80"/>
      <c r="DK421" s="80"/>
      <c r="DL421" s="80"/>
      <c r="DM421" s="80"/>
      <c r="DN421" s="80"/>
      <c r="DO421" s="80"/>
      <c r="DP421" s="80"/>
      <c r="DQ421" s="80"/>
      <c r="DR421" s="80"/>
      <c r="DS421" s="80"/>
      <c r="DT421" s="80"/>
      <c r="DU421" s="80"/>
      <c r="DV421" s="80"/>
      <c r="DW421" s="77"/>
      <c r="DX421" s="659"/>
      <c r="DY421" s="659"/>
      <c r="DZ421" s="51"/>
      <c r="EA421" s="76"/>
      <c r="EB421" s="51"/>
      <c r="EC421" s="51"/>
    </row>
    <row r="422" spans="3:148" ht="15" hidden="1" x14ac:dyDescent="0.25">
      <c r="E422" s="81"/>
      <c r="F422" s="49"/>
      <c r="G422" s="77">
        <v>0</v>
      </c>
      <c r="H422" s="77">
        <v>3.9442966226488352E-8</v>
      </c>
      <c r="I422" s="77">
        <v>3.9442966226488352E-8</v>
      </c>
      <c r="J422" s="77">
        <v>3.9442966226488352E-8</v>
      </c>
      <c r="K422" s="77">
        <v>3.9442966226488352E-8</v>
      </c>
      <c r="L422" s="77">
        <v>3.9442966226488352E-8</v>
      </c>
      <c r="M422" s="77">
        <v>3.9442966226488352E-8</v>
      </c>
      <c r="N422" s="77">
        <v>3.9442966226488352E-8</v>
      </c>
      <c r="O422" s="77">
        <v>3.9442966226488352E-8</v>
      </c>
      <c r="P422" s="77">
        <v>3.9442966226488352E-8</v>
      </c>
      <c r="Q422" s="77">
        <v>697.43800003944295</v>
      </c>
      <c r="R422" s="77">
        <v>586.932985039443</v>
      </c>
      <c r="S422" s="77">
        <v>560.13447548944316</v>
      </c>
      <c r="T422" s="77">
        <v>482.80874232944313</v>
      </c>
      <c r="U422" s="77">
        <v>426.70394838944316</v>
      </c>
      <c r="V422" s="77">
        <v>1449.1717320094433</v>
      </c>
      <c r="W422" s="77">
        <v>2168.3792361894434</v>
      </c>
      <c r="X422" s="77">
        <v>6043.2101404494442</v>
      </c>
      <c r="Y422" s="77">
        <v>3784.4891464494444</v>
      </c>
      <c r="Z422" s="77">
        <v>4379.8029354494447</v>
      </c>
      <c r="AA422" s="77">
        <v>4091.9611354494446</v>
      </c>
      <c r="AB422" s="77">
        <v>3214.7701254494445</v>
      </c>
      <c r="AC422" s="77">
        <v>2163.5394214494445</v>
      </c>
      <c r="AD422" s="77">
        <v>8435.7058714494451</v>
      </c>
      <c r="AE422" s="77">
        <v>5718.4562912494448</v>
      </c>
      <c r="AF422" s="77">
        <v>4325.1674436094454</v>
      </c>
      <c r="AG422" s="77">
        <v>2966.8593445894453</v>
      </c>
      <c r="AH422" s="77">
        <v>1464.3298277994454</v>
      </c>
      <c r="AI422" s="77">
        <v>2242.4846071194461</v>
      </c>
      <c r="AJ422" s="77">
        <v>1769.4600641194461</v>
      </c>
      <c r="AK422" s="77">
        <v>3127.2644239394463</v>
      </c>
      <c r="AL422" s="77">
        <v>1686.3721453794465</v>
      </c>
      <c r="AM422" s="77">
        <v>15781.706797629447</v>
      </c>
      <c r="AN422" s="77">
        <v>14578.026701629447</v>
      </c>
      <c r="AO422" s="77">
        <v>11397.601549629448</v>
      </c>
      <c r="AP422" s="77">
        <v>14564.298677129449</v>
      </c>
      <c r="AQ422" s="77">
        <v>12792.913587129449</v>
      </c>
      <c r="AR422" s="77">
        <v>12544.195276129449</v>
      </c>
      <c r="AS422" s="77">
        <v>12747.700557129448</v>
      </c>
      <c r="AT422" s="77">
        <v>9203.5047321294478</v>
      </c>
      <c r="AU422" s="77">
        <v>10002.783415129448</v>
      </c>
      <c r="AV422" s="77">
        <v>9992.3306241294486</v>
      </c>
      <c r="AW422" s="77">
        <v>10344.139182129449</v>
      </c>
      <c r="AX422" s="77">
        <v>9193.4640861294483</v>
      </c>
      <c r="AY422" s="77">
        <v>8278.4421438794488</v>
      </c>
      <c r="AZ422" s="77">
        <v>16122.895889787449</v>
      </c>
      <c r="BA422" s="77">
        <v>15283.17059278745</v>
      </c>
      <c r="BB422" s="77">
        <v>11562.71841604745</v>
      </c>
      <c r="BC422" s="77">
        <v>11551.46841604745</v>
      </c>
      <c r="BD422" s="77">
        <v>10386.43911004745</v>
      </c>
      <c r="BE422" s="77">
        <v>10609.424374047449</v>
      </c>
      <c r="BF422" s="77">
        <v>6241.8309920474485</v>
      </c>
      <c r="BG422" s="434">
        <v>5029.3606330474486</v>
      </c>
      <c r="BH422" s="434">
        <v>3087.6276670474485</v>
      </c>
      <c r="BI422" s="77">
        <v>2703.3123200474483</v>
      </c>
      <c r="BJ422" s="77">
        <v>9524.3870704874498</v>
      </c>
      <c r="BK422" s="77">
        <v>9115.1855574874498</v>
      </c>
      <c r="BL422" s="77">
        <v>12675.826353047451</v>
      </c>
      <c r="BM422" s="77">
        <v>11254.18136904745</v>
      </c>
      <c r="BN422" s="77">
        <v>13586.86840804745</v>
      </c>
      <c r="BO422" s="77">
        <v>10244.02879146745</v>
      </c>
      <c r="BP422" s="77">
        <v>6796.6788362274501</v>
      </c>
      <c r="BQ422" s="77">
        <v>5189.78058922745</v>
      </c>
      <c r="BR422" s="77">
        <v>3833.0495446074501</v>
      </c>
      <c r="BS422" s="77">
        <v>9346.7525636074497</v>
      </c>
      <c r="BT422" s="77">
        <v>8980.7589756074503</v>
      </c>
      <c r="BU422" s="77">
        <v>6086.2211979874501</v>
      </c>
      <c r="BV422" s="77">
        <v>4100.92533075745</v>
      </c>
      <c r="BW422" s="77">
        <v>22251.080907757452</v>
      </c>
      <c r="BX422" s="77">
        <v>20452.776543757453</v>
      </c>
      <c r="BY422" s="77">
        <v>26252.605813757451</v>
      </c>
      <c r="BZ422" s="77">
        <v>24132.135955757451</v>
      </c>
      <c r="CA422" s="77">
        <v>23880.510591757451</v>
      </c>
      <c r="CB422" s="77">
        <v>23131.014064757452</v>
      </c>
      <c r="CC422" s="77">
        <v>21937.53050075745</v>
      </c>
      <c r="CD422" s="77">
        <v>20418.938338757449</v>
      </c>
      <c r="CE422" s="77">
        <v>18221.65335075745</v>
      </c>
      <c r="CF422" s="77">
        <v>19711.722656757451</v>
      </c>
      <c r="CG422" s="77">
        <v>18480.57538775745</v>
      </c>
      <c r="CH422" s="77">
        <v>17522.188399717448</v>
      </c>
      <c r="CI422" s="77">
        <v>15518.685618717449</v>
      </c>
      <c r="CJ422" s="77">
        <v>15572.441190717449</v>
      </c>
      <c r="CK422" s="77">
        <v>14300.915301717449</v>
      </c>
      <c r="CL422" s="77">
        <v>12002.390759717448</v>
      </c>
      <c r="CM422" s="77">
        <v>11810.367406717447</v>
      </c>
      <c r="CN422" s="77">
        <v>9608.8921015320939</v>
      </c>
      <c r="CO422" s="77">
        <v>14527.963566808885</v>
      </c>
      <c r="CP422" s="77">
        <v>10463.132807714008</v>
      </c>
      <c r="CQ422" s="77">
        <v>8214.4514291466312</v>
      </c>
      <c r="CR422" s="77">
        <v>15316.01636688878</v>
      </c>
      <c r="CS422" s="77">
        <v>12281.21564711188</v>
      </c>
      <c r="CT422" s="77">
        <v>8683.4551465016466</v>
      </c>
      <c r="CU422" s="77">
        <v>6103.0213424247468</v>
      </c>
      <c r="CV422" s="77">
        <v>11834.79842091558</v>
      </c>
      <c r="CW422" s="77">
        <v>9399.517950172014</v>
      </c>
      <c r="CX422" s="77">
        <v>7825.960044772447</v>
      </c>
      <c r="CY422" s="77">
        <v>24997.685718204502</v>
      </c>
      <c r="CZ422" s="77">
        <v>22005.286915551551</v>
      </c>
      <c r="DA422" s="77">
        <v>18797.8774355286</v>
      </c>
      <c r="DB422" s="77">
        <v>11769.107779749827</v>
      </c>
      <c r="DC422" s="77">
        <v>21339.361508014757</v>
      </c>
      <c r="DD422" s="77">
        <v>17459.619140968407</v>
      </c>
      <c r="DE422" s="77">
        <v>9670.6785569031999</v>
      </c>
      <c r="DF422" s="77">
        <v>20804.180119469882</v>
      </c>
      <c r="DG422" s="77">
        <v>27222.891965791379</v>
      </c>
      <c r="DH422" s="77">
        <v>19556.021222759598</v>
      </c>
      <c r="DI422" s="77">
        <v>15584.282886546143</v>
      </c>
      <c r="DJ422" s="77">
        <v>8926.5445503326864</v>
      </c>
      <c r="DK422" s="77">
        <v>1630.8895474525634</v>
      </c>
      <c r="DL422" s="77">
        <v>1832.9814526155992</v>
      </c>
      <c r="DM422" s="77">
        <v>25398.312836421301</v>
      </c>
      <c r="DN422" s="77">
        <v>21058.802308213522</v>
      </c>
      <c r="DO422" s="77">
        <v>20221.764043249459</v>
      </c>
      <c r="DP422" s="77">
        <v>16786.725778285396</v>
      </c>
      <c r="DQ422" s="77">
        <v>12695.937513321333</v>
      </c>
      <c r="DR422" s="77">
        <v>11858.899248357269</v>
      </c>
      <c r="DS422" s="77">
        <v>8489.860983393206</v>
      </c>
      <c r="DT422" s="77">
        <v>7070.2375579075251</v>
      </c>
      <c r="DU422" s="77">
        <v>6495.9777650504166</v>
      </c>
      <c r="DV422" s="77">
        <v>140.62730870553787</v>
      </c>
      <c r="DX422" s="75"/>
      <c r="DZ422" s="51"/>
      <c r="EA422" s="51"/>
      <c r="EB422" s="51"/>
      <c r="EC422" s="51"/>
    </row>
    <row r="423" spans="3:148" ht="12.75" hidden="1" x14ac:dyDescent="0.2">
      <c r="E423" s="81"/>
      <c r="F423" s="49"/>
      <c r="G423" s="77">
        <f>+G420-G422</f>
        <v>-3.9999576983973384E-8</v>
      </c>
      <c r="H423" s="77">
        <f t="shared" ref="H423:BS423" si="95">+H420-H422</f>
        <v>-1.0399971870356239E-6</v>
      </c>
      <c r="I423" s="77">
        <f t="shared" si="95"/>
        <v>-1.0399971870356239E-6</v>
      </c>
      <c r="J423" s="77">
        <f t="shared" si="95"/>
        <v>-1.0399971870356239E-6</v>
      </c>
      <c r="K423" s="77">
        <f t="shared" si="95"/>
        <v>-1.0399971870356239E-6</v>
      </c>
      <c r="L423" s="77">
        <f t="shared" si="95"/>
        <v>-1.0399971870356239E-6</v>
      </c>
      <c r="M423" s="77">
        <f t="shared" si="95"/>
        <v>-1.0399971870356239E-6</v>
      </c>
      <c r="N423" s="77">
        <f t="shared" si="95"/>
        <v>-1.0399971870356239E-6</v>
      </c>
      <c r="O423" s="77">
        <f t="shared" si="95"/>
        <v>-1.0399971870356239E-6</v>
      </c>
      <c r="P423" s="77">
        <f t="shared" si="95"/>
        <v>-1.0399971870356239E-6</v>
      </c>
      <c r="Q423" s="77">
        <f t="shared" si="95"/>
        <v>-1.0399971870356239E-6</v>
      </c>
      <c r="R423" s="77">
        <f t="shared" si="95"/>
        <v>-1.0399971870356239E-6</v>
      </c>
      <c r="S423" s="77">
        <f t="shared" si="95"/>
        <v>-1.0399973007224617E-6</v>
      </c>
      <c r="T423" s="77">
        <f t="shared" si="95"/>
        <v>-1.0399973007224617E-6</v>
      </c>
      <c r="U423" s="77">
        <f t="shared" si="95"/>
        <v>-1.0399973007224617E-6</v>
      </c>
      <c r="V423" s="77">
        <f t="shared" si="95"/>
        <v>-1.0399974144092994E-6</v>
      </c>
      <c r="W423" s="77">
        <f t="shared" si="95"/>
        <v>-1.0399976417829748E-6</v>
      </c>
      <c r="X423" s="77">
        <f t="shared" si="95"/>
        <v>-1.0399980965303257E-6</v>
      </c>
      <c r="Y423" s="77">
        <f t="shared" si="95"/>
        <v>-1.0399980965303257E-6</v>
      </c>
      <c r="Z423" s="77">
        <f t="shared" si="95"/>
        <v>-1.0399980965303257E-6</v>
      </c>
      <c r="AA423" s="77">
        <f t="shared" si="95"/>
        <v>-1.0399980965303257E-6</v>
      </c>
      <c r="AB423" s="77">
        <f t="shared" si="95"/>
        <v>-1.0399980965303257E-6</v>
      </c>
      <c r="AC423" s="77">
        <f t="shared" si="95"/>
        <v>-1.0399980965303257E-6</v>
      </c>
      <c r="AD423" s="77">
        <f t="shared" si="95"/>
        <v>-1.0399980965303257E-6</v>
      </c>
      <c r="AE423" s="77">
        <f t="shared" si="95"/>
        <v>-1.0399980965303257E-6</v>
      </c>
      <c r="AF423" s="77">
        <f t="shared" si="95"/>
        <v>-1.0399980965303257E-6</v>
      </c>
      <c r="AG423" s="77">
        <f t="shared" si="95"/>
        <v>-1.0399980965303257E-6</v>
      </c>
      <c r="AH423" s="77">
        <f t="shared" si="95"/>
        <v>-1.0399980965303257E-6</v>
      </c>
      <c r="AI423" s="77">
        <f t="shared" si="95"/>
        <v>-1.0399980965303257E-6</v>
      </c>
      <c r="AJ423" s="77">
        <f t="shared" si="95"/>
        <v>-1.0399980965303257E-6</v>
      </c>
      <c r="AK423" s="77">
        <f t="shared" si="95"/>
        <v>-1.0399980965303257E-6</v>
      </c>
      <c r="AL423" s="77">
        <f t="shared" si="95"/>
        <v>-1.0399980965303257E-6</v>
      </c>
      <c r="AM423" s="77">
        <f t="shared" si="95"/>
        <v>-1.0399980965303257E-6</v>
      </c>
      <c r="AN423" s="77">
        <f t="shared" si="95"/>
        <v>-1.0399980965303257E-6</v>
      </c>
      <c r="AO423" s="77">
        <f t="shared" si="95"/>
        <v>-1.0399980965303257E-6</v>
      </c>
      <c r="AP423" s="77">
        <f t="shared" si="95"/>
        <v>-1.0399999155197293E-6</v>
      </c>
      <c r="AQ423" s="77">
        <f t="shared" si="95"/>
        <v>-1.0399999155197293E-6</v>
      </c>
      <c r="AR423" s="77">
        <f t="shared" si="95"/>
        <v>-1.0399999155197293E-6</v>
      </c>
      <c r="AS423" s="77">
        <f t="shared" si="95"/>
        <v>-1.0399999155197293E-6</v>
      </c>
      <c r="AT423" s="77">
        <f t="shared" si="95"/>
        <v>-1.0399999155197293E-6</v>
      </c>
      <c r="AU423" s="77">
        <f t="shared" si="95"/>
        <v>-1.0399999155197293E-6</v>
      </c>
      <c r="AV423" s="77">
        <f t="shared" si="95"/>
        <v>-1.0399999155197293E-6</v>
      </c>
      <c r="AW423" s="77">
        <f t="shared" si="95"/>
        <v>-1.0399999155197293E-6</v>
      </c>
      <c r="AX423" s="77">
        <f t="shared" si="95"/>
        <v>-1.0399999155197293E-6</v>
      </c>
      <c r="AY423" s="77">
        <f t="shared" si="95"/>
        <v>-1.0399999155197293E-6</v>
      </c>
      <c r="AZ423" s="77">
        <f t="shared" si="95"/>
        <v>-1.0399999155197293E-6</v>
      </c>
      <c r="BA423" s="77">
        <f t="shared" si="95"/>
        <v>-1.0399999155197293E-6</v>
      </c>
      <c r="BB423" s="77">
        <f t="shared" si="95"/>
        <v>-1.0399999155197293E-6</v>
      </c>
      <c r="BC423" s="77">
        <f t="shared" si="95"/>
        <v>-1.0399999155197293E-6</v>
      </c>
      <c r="BD423" s="77">
        <f t="shared" si="95"/>
        <v>-1.0399999155197293E-6</v>
      </c>
      <c r="BE423" s="77">
        <f t="shared" si="95"/>
        <v>-1.0399999155197293E-6</v>
      </c>
      <c r="BF423" s="77">
        <f t="shared" si="95"/>
        <v>-1.0399999155197293E-6</v>
      </c>
      <c r="BG423" s="77">
        <f t="shared" si="95"/>
        <v>-1.0399999155197293E-6</v>
      </c>
      <c r="BH423" s="77">
        <f t="shared" si="95"/>
        <v>-1.0399999155197293E-6</v>
      </c>
      <c r="BI423" s="77">
        <f t="shared" si="95"/>
        <v>-1.0399999155197293E-6</v>
      </c>
      <c r="BJ423" s="77">
        <f t="shared" si="95"/>
        <v>-1.0399999155197293E-6</v>
      </c>
      <c r="BK423" s="77">
        <f t="shared" si="95"/>
        <v>-1.0399999155197293E-6</v>
      </c>
      <c r="BL423" s="77">
        <f t="shared" si="95"/>
        <v>-1.0399999155197293E-6</v>
      </c>
      <c r="BM423" s="77">
        <f t="shared" si="95"/>
        <v>-1.0399999155197293E-6</v>
      </c>
      <c r="BN423" s="77">
        <f t="shared" si="95"/>
        <v>-1.0399999155197293E-6</v>
      </c>
      <c r="BO423" s="77">
        <f t="shared" si="95"/>
        <v>-1.0399999155197293E-6</v>
      </c>
      <c r="BP423" s="77">
        <f t="shared" si="95"/>
        <v>-1.0399999155197293E-6</v>
      </c>
      <c r="BQ423" s="77">
        <f t="shared" si="95"/>
        <v>-1.0399999155197293E-6</v>
      </c>
      <c r="BR423" s="77">
        <f t="shared" si="95"/>
        <v>-1.0399999155197293E-6</v>
      </c>
      <c r="BS423" s="77">
        <f t="shared" si="95"/>
        <v>-1.0399999155197293E-6</v>
      </c>
      <c r="BT423" s="77">
        <f t="shared" ref="BT423:DV423" si="96">+BT420-BT422</f>
        <v>-1.0399999155197293E-6</v>
      </c>
      <c r="BU423" s="77">
        <f t="shared" si="96"/>
        <v>-1.0399999155197293E-6</v>
      </c>
      <c r="BV423" s="77">
        <f t="shared" si="96"/>
        <v>-1.0399999155197293E-6</v>
      </c>
      <c r="BW423" s="77">
        <f t="shared" si="96"/>
        <v>-1.0399999155197293E-6</v>
      </c>
      <c r="BX423" s="77">
        <f t="shared" si="96"/>
        <v>-1.0399999155197293E-6</v>
      </c>
      <c r="BY423" s="77">
        <f t="shared" si="96"/>
        <v>-1.0399962775409222E-6</v>
      </c>
      <c r="BZ423" s="77">
        <f t="shared" si="96"/>
        <v>-1.0399962775409222E-6</v>
      </c>
      <c r="CA423" s="77">
        <f t="shared" si="96"/>
        <v>-1.0399962775409222E-6</v>
      </c>
      <c r="CB423" s="77">
        <f t="shared" si="96"/>
        <v>-1.0399962775409222E-6</v>
      </c>
      <c r="CC423" s="77">
        <f t="shared" si="96"/>
        <v>-1.0399962775409222E-6</v>
      </c>
      <c r="CD423" s="77">
        <f t="shared" si="96"/>
        <v>-1.0399962775409222E-6</v>
      </c>
      <c r="CE423" s="77">
        <f t="shared" si="96"/>
        <v>152.50007385000208</v>
      </c>
      <c r="CF423" s="77">
        <f t="shared" si="96"/>
        <v>265.64703296000152</v>
      </c>
      <c r="CG423" s="77">
        <f t="shared" si="96"/>
        <v>-1.0399962775409222E-6</v>
      </c>
      <c r="CH423" s="77">
        <f t="shared" si="96"/>
        <v>-1.0399962775409222E-6</v>
      </c>
      <c r="CI423" s="77">
        <f t="shared" si="96"/>
        <v>-1.0399962775409222E-6</v>
      </c>
      <c r="CJ423" s="77">
        <f t="shared" si="96"/>
        <v>-1.0399962775409222E-6</v>
      </c>
      <c r="CK423" s="77">
        <f t="shared" si="96"/>
        <v>-1.0399962775409222E-6</v>
      </c>
      <c r="CL423" s="77">
        <f t="shared" si="96"/>
        <v>-1.0399962775409222E-6</v>
      </c>
      <c r="CM423" s="77">
        <f t="shared" si="96"/>
        <v>-1.0399962775409222E-6</v>
      </c>
      <c r="CN423" s="77">
        <f t="shared" si="96"/>
        <v>11160.014339145355</v>
      </c>
      <c r="CO423" s="77">
        <f t="shared" si="96"/>
        <v>5582.4535048685648</v>
      </c>
      <c r="CP423" s="77">
        <f t="shared" si="96"/>
        <v>7302.3950899634419</v>
      </c>
      <c r="CQ423" s="77">
        <f t="shared" si="96"/>
        <v>9358.7201645308178</v>
      </c>
      <c r="CR423" s="77">
        <f t="shared" si="96"/>
        <v>-949.61819721132997</v>
      </c>
      <c r="CS423" s="77">
        <f t="shared" si="96"/>
        <v>-2233.2976924344293</v>
      </c>
      <c r="CT423" s="77">
        <f t="shared" si="96"/>
        <v>1402.2098361758035</v>
      </c>
      <c r="CU423" s="77">
        <f t="shared" si="96"/>
        <v>3547.7363992527025</v>
      </c>
      <c r="CV423" s="77">
        <f t="shared" si="96"/>
        <v>749.94498576186925</v>
      </c>
      <c r="CW423" s="77">
        <f t="shared" si="96"/>
        <v>3070.434850505435</v>
      </c>
      <c r="CX423" s="77">
        <f t="shared" si="96"/>
        <v>2607.4570069050014</v>
      </c>
      <c r="CY423" s="77">
        <f t="shared" si="96"/>
        <v>-14707.917942527054</v>
      </c>
      <c r="CZ423" s="77">
        <f t="shared" si="96"/>
        <v>-11862.326074874103</v>
      </c>
      <c r="DA423" s="77">
        <f t="shared" si="96"/>
        <v>-10107.603678851152</v>
      </c>
      <c r="DB423" s="77">
        <f t="shared" si="96"/>
        <v>-3243.1100190723791</v>
      </c>
      <c r="DC423" s="77">
        <f t="shared" si="96"/>
        <v>-14264.398006337309</v>
      </c>
      <c r="DD423" s="77">
        <f t="shared" si="96"/>
        <v>-11264.483888290959</v>
      </c>
      <c r="DE423" s="77">
        <f t="shared" si="96"/>
        <v>-4717.3489822257516</v>
      </c>
      <c r="DF423" s="77">
        <f t="shared" si="96"/>
        <v>-6750.8890002470289</v>
      </c>
      <c r="DG423" s="77">
        <f t="shared" si="96"/>
        <v>4800.8344339785763</v>
      </c>
      <c r="DH423" s="77">
        <f t="shared" si="96"/>
        <v>9998.9184885820687</v>
      </c>
      <c r="DI423" s="77">
        <f t="shared" si="96"/>
        <v>11313.33933426839</v>
      </c>
      <c r="DJ423" s="77">
        <f t="shared" si="96"/>
        <v>32201.534600825187</v>
      </c>
      <c r="DK423" s="77">
        <f t="shared" si="96"/>
        <v>33863.001857816744</v>
      </c>
      <c r="DL423" s="77">
        <f t="shared" si="96"/>
        <v>29678.775366166858</v>
      </c>
      <c r="DM423" s="77">
        <f t="shared" si="96"/>
        <v>-6882.174362337817</v>
      </c>
      <c r="DN423" s="77">
        <f t="shared" si="96"/>
        <v>-8650.8958832101343</v>
      </c>
      <c r="DO423" s="77">
        <f t="shared" si="96"/>
        <v>-13187.599934635131</v>
      </c>
      <c r="DP423" s="77">
        <f t="shared" si="96"/>
        <v>-6350.3009758294265</v>
      </c>
      <c r="DQ423" s="77">
        <f t="shared" si="96"/>
        <v>-5665.4275295792768</v>
      </c>
      <c r="DR423" s="77">
        <f t="shared" si="96"/>
        <v>-7284.0145497401863</v>
      </c>
      <c r="DS423" s="77">
        <f t="shared" si="96"/>
        <v>-565.21703788937975</v>
      </c>
      <c r="DT423" s="77">
        <f t="shared" si="96"/>
        <v>-2251.2372477031076</v>
      </c>
      <c r="DU423" s="77">
        <f t="shared" si="96"/>
        <v>-6105.7078521548983</v>
      </c>
      <c r="DV423" s="77">
        <f t="shared" si="96"/>
        <v>2174.0457859796552</v>
      </c>
      <c r="DX423" s="75"/>
      <c r="DZ423" s="51"/>
      <c r="EA423" s="51"/>
      <c r="EB423" s="51"/>
      <c r="EC423" s="51"/>
    </row>
    <row r="424" spans="3:148" ht="12.75" x14ac:dyDescent="0.2">
      <c r="E424" s="81"/>
      <c r="F424" s="49"/>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7"/>
      <c r="AL424" s="77"/>
      <c r="AM424" s="77"/>
      <c r="AN424" s="77"/>
      <c r="AO424" s="77"/>
      <c r="AP424" s="77"/>
      <c r="AQ424" s="77"/>
      <c r="AR424" s="77"/>
      <c r="AS424" s="77"/>
      <c r="AT424" s="77"/>
      <c r="AU424" s="77"/>
      <c r="AV424" s="77"/>
      <c r="AW424" s="77"/>
      <c r="AX424" s="77"/>
      <c r="AY424" s="77"/>
      <c r="AZ424" s="77"/>
      <c r="BA424" s="77"/>
      <c r="BB424" s="77"/>
      <c r="BC424" s="77"/>
      <c r="BD424" s="77"/>
      <c r="BE424" s="77"/>
      <c r="BF424" s="77"/>
      <c r="BG424" s="77"/>
      <c r="BH424" s="77"/>
      <c r="BI424" s="77"/>
      <c r="BJ424" s="77"/>
      <c r="BK424" s="77"/>
      <c r="BL424" s="77"/>
      <c r="BM424" s="77"/>
      <c r="BN424" s="77"/>
      <c r="BO424" s="77"/>
      <c r="BP424" s="77"/>
      <c r="BQ424" s="77"/>
      <c r="BR424" s="77"/>
      <c r="BS424" s="77"/>
      <c r="BT424" s="77"/>
      <c r="BU424" s="77"/>
      <c r="BV424" s="77"/>
      <c r="BW424" s="77"/>
      <c r="BX424" s="77"/>
      <c r="BY424" s="77"/>
      <c r="BZ424" s="77"/>
      <c r="CA424" s="77"/>
      <c r="CB424" s="77"/>
      <c r="CC424" s="77"/>
      <c r="CD424" s="77"/>
      <c r="CE424" s="77"/>
      <c r="CF424" s="77"/>
      <c r="CG424" s="77"/>
      <c r="CH424" s="77"/>
      <c r="CI424" s="77"/>
      <c r="CJ424" s="77"/>
      <c r="CK424" s="77"/>
      <c r="CL424" s="77"/>
      <c r="CM424" s="77"/>
      <c r="CN424" s="77"/>
      <c r="CO424" s="77"/>
      <c r="CP424" s="77"/>
      <c r="CQ424" s="77"/>
      <c r="CR424" s="77"/>
      <c r="CS424" s="77"/>
      <c r="CT424" s="77"/>
      <c r="CU424" s="77"/>
      <c r="CV424" s="77"/>
      <c r="CW424" s="77"/>
      <c r="CX424" s="77"/>
      <c r="CY424" s="77"/>
      <c r="CZ424" s="77"/>
      <c r="DA424" s="77"/>
      <c r="DB424" s="77"/>
      <c r="DC424" s="77"/>
      <c r="DD424" s="77"/>
      <c r="DE424" s="77"/>
      <c r="DF424" s="77"/>
      <c r="DG424" s="77"/>
      <c r="DH424" s="77"/>
      <c r="DI424" s="77"/>
      <c r="DJ424" s="77"/>
      <c r="DK424" s="77"/>
      <c r="DL424" s="77"/>
      <c r="DM424" s="77"/>
      <c r="DN424" s="77"/>
      <c r="DO424" s="77"/>
      <c r="DP424" s="77"/>
      <c r="DQ424" s="77"/>
      <c r="DR424" s="77"/>
      <c r="DS424" s="77"/>
      <c r="DT424" s="77"/>
      <c r="DU424" s="77"/>
      <c r="DV424" s="77"/>
      <c r="DX424" s="75"/>
      <c r="DZ424" s="67"/>
      <c r="EA424" s="51"/>
      <c r="EB424" s="51"/>
      <c r="EC424" s="51"/>
    </row>
    <row r="425" spans="3:148" hidden="1" x14ac:dyDescent="0.2">
      <c r="E425" s="49" t="s">
        <v>227</v>
      </c>
      <c r="G425" s="36">
        <f>G400</f>
        <v>40179</v>
      </c>
      <c r="H425" s="36">
        <f t="shared" ref="H425:BS425" si="97">H400</f>
        <v>40210</v>
      </c>
      <c r="I425" s="36">
        <f t="shared" si="97"/>
        <v>40238</v>
      </c>
      <c r="J425" s="36">
        <f t="shared" si="97"/>
        <v>40269</v>
      </c>
      <c r="K425" s="36">
        <f t="shared" si="97"/>
        <v>40299</v>
      </c>
      <c r="L425" s="36">
        <f t="shared" si="97"/>
        <v>40330</v>
      </c>
      <c r="M425" s="36">
        <f t="shared" si="97"/>
        <v>40360</v>
      </c>
      <c r="N425" s="36">
        <f t="shared" si="97"/>
        <v>40391</v>
      </c>
      <c r="O425" s="36">
        <f t="shared" si="97"/>
        <v>40422</v>
      </c>
      <c r="P425" s="36">
        <f t="shared" si="97"/>
        <v>40452</v>
      </c>
      <c r="Q425" s="36">
        <f t="shared" si="97"/>
        <v>40483</v>
      </c>
      <c r="R425" s="36">
        <f t="shared" si="97"/>
        <v>40513</v>
      </c>
      <c r="S425" s="36">
        <f t="shared" si="97"/>
        <v>40544</v>
      </c>
      <c r="T425" s="36">
        <f t="shared" si="97"/>
        <v>40575</v>
      </c>
      <c r="U425" s="36">
        <f t="shared" si="97"/>
        <v>40603</v>
      </c>
      <c r="V425" s="36">
        <f t="shared" si="97"/>
        <v>40634</v>
      </c>
      <c r="W425" s="36">
        <f t="shared" si="97"/>
        <v>40664</v>
      </c>
      <c r="X425" s="36">
        <f t="shared" si="97"/>
        <v>40695</v>
      </c>
      <c r="Y425" s="36">
        <f t="shared" si="97"/>
        <v>40725</v>
      </c>
      <c r="Z425" s="36">
        <f t="shared" si="97"/>
        <v>40756</v>
      </c>
      <c r="AA425" s="36">
        <f t="shared" si="97"/>
        <v>40787</v>
      </c>
      <c r="AB425" s="36">
        <f t="shared" si="97"/>
        <v>40817</v>
      </c>
      <c r="AC425" s="36">
        <f t="shared" si="97"/>
        <v>40848</v>
      </c>
      <c r="AD425" s="36">
        <f t="shared" si="97"/>
        <v>40878</v>
      </c>
      <c r="AE425" s="36">
        <f t="shared" si="97"/>
        <v>40909</v>
      </c>
      <c r="AF425" s="36">
        <f t="shared" si="97"/>
        <v>40940</v>
      </c>
      <c r="AG425" s="36">
        <f t="shared" si="97"/>
        <v>40969</v>
      </c>
      <c r="AH425" s="36">
        <f t="shared" si="97"/>
        <v>41000</v>
      </c>
      <c r="AI425" s="36">
        <f t="shared" si="97"/>
        <v>41030</v>
      </c>
      <c r="AJ425" s="36">
        <f t="shared" si="97"/>
        <v>41061</v>
      </c>
      <c r="AK425" s="36">
        <f t="shared" si="97"/>
        <v>41091</v>
      </c>
      <c r="AL425" s="36">
        <f t="shared" si="97"/>
        <v>41122</v>
      </c>
      <c r="AM425" s="36">
        <f t="shared" si="97"/>
        <v>41153</v>
      </c>
      <c r="AN425" s="36">
        <f t="shared" si="97"/>
        <v>41183</v>
      </c>
      <c r="AO425" s="36">
        <f t="shared" si="97"/>
        <v>41214</v>
      </c>
      <c r="AP425" s="36">
        <f t="shared" si="97"/>
        <v>41244</v>
      </c>
      <c r="AQ425" s="36">
        <f t="shared" si="97"/>
        <v>41275</v>
      </c>
      <c r="AR425" s="36">
        <f t="shared" si="97"/>
        <v>41306</v>
      </c>
      <c r="AS425" s="36">
        <f t="shared" si="97"/>
        <v>41334</v>
      </c>
      <c r="AT425" s="36">
        <f t="shared" si="97"/>
        <v>41365</v>
      </c>
      <c r="AU425" s="36">
        <f t="shared" si="97"/>
        <v>41395</v>
      </c>
      <c r="AV425" s="36">
        <f t="shared" si="97"/>
        <v>41426</v>
      </c>
      <c r="AW425" s="36">
        <f t="shared" si="97"/>
        <v>41456</v>
      </c>
      <c r="AX425" s="36">
        <f t="shared" si="97"/>
        <v>41487</v>
      </c>
      <c r="AY425" s="36">
        <f t="shared" si="97"/>
        <v>41518</v>
      </c>
      <c r="AZ425" s="36">
        <f t="shared" si="97"/>
        <v>41548</v>
      </c>
      <c r="BA425" s="36">
        <f t="shared" si="97"/>
        <v>41579</v>
      </c>
      <c r="BB425" s="36">
        <f t="shared" si="97"/>
        <v>41609</v>
      </c>
      <c r="BC425" s="36">
        <f t="shared" si="97"/>
        <v>41640</v>
      </c>
      <c r="BD425" s="36">
        <f t="shared" si="97"/>
        <v>41671</v>
      </c>
      <c r="BE425" s="36">
        <f t="shared" si="97"/>
        <v>41699</v>
      </c>
      <c r="BF425" s="36">
        <f t="shared" si="97"/>
        <v>41730</v>
      </c>
      <c r="BG425" s="36">
        <f t="shared" si="97"/>
        <v>41760</v>
      </c>
      <c r="BH425" s="36">
        <f t="shared" si="97"/>
        <v>41791</v>
      </c>
      <c r="BI425" s="36">
        <f t="shared" si="97"/>
        <v>41821</v>
      </c>
      <c r="BJ425" s="36">
        <f t="shared" si="97"/>
        <v>41852</v>
      </c>
      <c r="BK425" s="36">
        <f t="shared" si="97"/>
        <v>41883</v>
      </c>
      <c r="BL425" s="36">
        <f t="shared" si="97"/>
        <v>41913</v>
      </c>
      <c r="BM425" s="36">
        <f t="shared" si="97"/>
        <v>41944</v>
      </c>
      <c r="BN425" s="36">
        <f t="shared" si="97"/>
        <v>41974</v>
      </c>
      <c r="BO425" s="36">
        <f t="shared" si="97"/>
        <v>42005</v>
      </c>
      <c r="BP425" s="36">
        <f t="shared" si="97"/>
        <v>42036</v>
      </c>
      <c r="BQ425" s="36">
        <f t="shared" si="97"/>
        <v>42064</v>
      </c>
      <c r="BR425" s="36">
        <f t="shared" si="97"/>
        <v>42095</v>
      </c>
      <c r="BS425" s="36">
        <f t="shared" si="97"/>
        <v>42125</v>
      </c>
      <c r="BT425" s="36">
        <f t="shared" ref="BT425:CL425" si="98">BT400</f>
        <v>42156</v>
      </c>
      <c r="BU425" s="36">
        <f t="shared" si="98"/>
        <v>42186</v>
      </c>
      <c r="BV425" s="36">
        <f t="shared" si="98"/>
        <v>42217</v>
      </c>
      <c r="BW425" s="36">
        <f t="shared" si="98"/>
        <v>42248</v>
      </c>
      <c r="BX425" s="36">
        <f t="shared" si="98"/>
        <v>42278</v>
      </c>
      <c r="BY425" s="36">
        <f t="shared" si="98"/>
        <v>42309</v>
      </c>
      <c r="BZ425" s="36">
        <f t="shared" si="98"/>
        <v>42339</v>
      </c>
      <c r="CA425" s="36">
        <f t="shared" si="98"/>
        <v>42370</v>
      </c>
      <c r="CB425" s="36">
        <f t="shared" si="98"/>
        <v>42401</v>
      </c>
      <c r="CC425" s="36">
        <f t="shared" si="98"/>
        <v>42430</v>
      </c>
      <c r="CD425" s="36">
        <f t="shared" si="98"/>
        <v>42461</v>
      </c>
      <c r="CE425" s="36">
        <f t="shared" si="98"/>
        <v>42491</v>
      </c>
      <c r="CF425" s="36">
        <f t="shared" si="98"/>
        <v>42522</v>
      </c>
      <c r="CG425" s="36">
        <f t="shared" si="98"/>
        <v>42552</v>
      </c>
      <c r="CH425" s="36">
        <f t="shared" si="98"/>
        <v>42583</v>
      </c>
      <c r="CI425" s="36">
        <f t="shared" si="98"/>
        <v>42614</v>
      </c>
      <c r="CJ425" s="36">
        <f t="shared" si="98"/>
        <v>42644</v>
      </c>
      <c r="CK425" s="36">
        <f t="shared" si="98"/>
        <v>42675</v>
      </c>
      <c r="CL425" s="36">
        <f t="shared" si="98"/>
        <v>42705</v>
      </c>
      <c r="CM425" s="36"/>
      <c r="CN425" s="36"/>
      <c r="CO425" s="36"/>
      <c r="CP425" s="36"/>
      <c r="CQ425" s="36"/>
      <c r="CR425" s="36"/>
      <c r="CS425" s="36"/>
      <c r="CT425" s="36"/>
      <c r="CU425" s="36"/>
      <c r="CV425" s="36"/>
      <c r="CW425" s="36"/>
      <c r="CX425" s="36"/>
      <c r="CY425" s="36"/>
      <c r="CZ425" s="36"/>
      <c r="DA425" s="36"/>
      <c r="DB425" s="36"/>
      <c r="DC425" s="36"/>
      <c r="DD425" s="36"/>
      <c r="DE425" s="36"/>
      <c r="DF425" s="36"/>
      <c r="DG425" s="36"/>
      <c r="DH425" s="36"/>
      <c r="DI425" s="36"/>
      <c r="DJ425" s="36"/>
      <c r="DK425" s="36"/>
      <c r="DL425" s="36"/>
      <c r="DM425" s="36"/>
      <c r="DN425" s="36"/>
      <c r="DO425" s="36"/>
      <c r="DP425" s="36"/>
      <c r="DQ425" s="36"/>
      <c r="DR425" s="36"/>
      <c r="DS425" s="36"/>
      <c r="DT425" s="36"/>
      <c r="DU425" s="36"/>
      <c r="DV425" s="36"/>
      <c r="DW425" s="36"/>
      <c r="DX425" s="283"/>
      <c r="DZ425" s="51"/>
      <c r="EA425" s="51"/>
      <c r="EB425" s="51"/>
      <c r="EC425" s="51"/>
    </row>
    <row r="426" spans="3:148" hidden="1" x14ac:dyDescent="0.2">
      <c r="E426" s="51" t="s">
        <v>228</v>
      </c>
      <c r="F426" s="67"/>
      <c r="G426" s="43">
        <f>G412</f>
        <v>0</v>
      </c>
      <c r="H426" s="43">
        <f t="shared" ref="H426:BS426" si="99">H412</f>
        <v>0</v>
      </c>
      <c r="I426" s="43">
        <f t="shared" si="99"/>
        <v>0</v>
      </c>
      <c r="J426" s="43">
        <f t="shared" si="99"/>
        <v>0</v>
      </c>
      <c r="K426" s="43">
        <f t="shared" si="99"/>
        <v>0</v>
      </c>
      <c r="L426" s="43">
        <f t="shared" si="99"/>
        <v>0</v>
      </c>
      <c r="M426" s="43">
        <f t="shared" si="99"/>
        <v>0</v>
      </c>
      <c r="N426" s="43">
        <f t="shared" si="99"/>
        <v>0</v>
      </c>
      <c r="O426" s="43">
        <f t="shared" si="99"/>
        <v>0</v>
      </c>
      <c r="P426" s="43">
        <f t="shared" si="99"/>
        <v>0</v>
      </c>
      <c r="Q426" s="43">
        <f t="shared" si="99"/>
        <v>0</v>
      </c>
      <c r="R426" s="43">
        <f t="shared" si="99"/>
        <v>0</v>
      </c>
      <c r="S426" s="43">
        <f t="shared" si="99"/>
        <v>0</v>
      </c>
      <c r="T426" s="43">
        <f t="shared" si="99"/>
        <v>0</v>
      </c>
      <c r="U426" s="43">
        <f t="shared" si="99"/>
        <v>0</v>
      </c>
      <c r="V426" s="43">
        <f t="shared" si="99"/>
        <v>0</v>
      </c>
      <c r="W426" s="43">
        <f t="shared" si="99"/>
        <v>0</v>
      </c>
      <c r="X426" s="43">
        <f t="shared" si="99"/>
        <v>8609.4135339999993</v>
      </c>
      <c r="Y426" s="43">
        <f t="shared" si="99"/>
        <v>0</v>
      </c>
      <c r="Z426" s="43">
        <f t="shared" si="99"/>
        <v>0</v>
      </c>
      <c r="AA426" s="43">
        <f t="shared" si="99"/>
        <v>0</v>
      </c>
      <c r="AB426" s="43">
        <f t="shared" si="99"/>
        <v>0</v>
      </c>
      <c r="AC426" s="43">
        <f t="shared" si="99"/>
        <v>0</v>
      </c>
      <c r="AD426" s="43">
        <f t="shared" si="99"/>
        <v>0</v>
      </c>
      <c r="AE426" s="43">
        <f t="shared" si="99"/>
        <v>0</v>
      </c>
      <c r="AF426" s="43">
        <f t="shared" si="99"/>
        <v>0</v>
      </c>
      <c r="AG426" s="43">
        <f t="shared" si="99"/>
        <v>0</v>
      </c>
      <c r="AH426" s="43">
        <f t="shared" si="99"/>
        <v>0</v>
      </c>
      <c r="AI426" s="43">
        <f t="shared" si="99"/>
        <v>4000</v>
      </c>
      <c r="AJ426" s="43">
        <f t="shared" si="99"/>
        <v>0</v>
      </c>
      <c r="AK426" s="43">
        <f>AK412</f>
        <v>6000</v>
      </c>
      <c r="AL426" s="43">
        <f t="shared" si="99"/>
        <v>0</v>
      </c>
      <c r="AM426" s="43">
        <f t="shared" si="99"/>
        <v>0</v>
      </c>
      <c r="AN426" s="43">
        <f t="shared" si="99"/>
        <v>0</v>
      </c>
      <c r="AO426" s="43">
        <f t="shared" si="99"/>
        <v>0</v>
      </c>
      <c r="AP426" s="43">
        <f t="shared" si="99"/>
        <v>0</v>
      </c>
      <c r="AQ426" s="43">
        <f t="shared" si="99"/>
        <v>0</v>
      </c>
      <c r="AR426" s="43">
        <f t="shared" si="99"/>
        <v>0</v>
      </c>
      <c r="AS426" s="43">
        <f t="shared" si="99"/>
        <v>0</v>
      </c>
      <c r="AT426" s="43">
        <f t="shared" si="99"/>
        <v>0</v>
      </c>
      <c r="AU426" s="43">
        <f t="shared" si="99"/>
        <v>0</v>
      </c>
      <c r="AV426" s="43">
        <f t="shared" si="99"/>
        <v>0</v>
      </c>
      <c r="AW426" s="43">
        <f t="shared" si="99"/>
        <v>0</v>
      </c>
      <c r="AX426" s="43">
        <f t="shared" si="99"/>
        <v>0</v>
      </c>
      <c r="AY426" s="43">
        <f t="shared" si="99"/>
        <v>0</v>
      </c>
      <c r="AZ426" s="43">
        <f t="shared" si="99"/>
        <v>0</v>
      </c>
      <c r="BA426" s="43">
        <f t="shared" si="99"/>
        <v>0</v>
      </c>
      <c r="BB426" s="43">
        <f t="shared" si="99"/>
        <v>0</v>
      </c>
      <c r="BC426" s="43">
        <f t="shared" si="99"/>
        <v>0</v>
      </c>
      <c r="BD426" s="43">
        <f t="shared" si="99"/>
        <v>0</v>
      </c>
      <c r="BE426" s="43">
        <f t="shared" si="99"/>
        <v>0</v>
      </c>
      <c r="BF426" s="43">
        <f t="shared" si="99"/>
        <v>0</v>
      </c>
      <c r="BG426" s="43">
        <f t="shared" si="99"/>
        <v>0</v>
      </c>
      <c r="BH426" s="43">
        <f>BH412</f>
        <v>0</v>
      </c>
      <c r="BI426" s="43">
        <f t="shared" si="99"/>
        <v>0</v>
      </c>
      <c r="BJ426" s="43">
        <f t="shared" si="99"/>
        <v>0</v>
      </c>
      <c r="BK426" s="43">
        <f t="shared" si="99"/>
        <v>0</v>
      </c>
      <c r="BL426" s="43">
        <f t="shared" si="99"/>
        <v>0</v>
      </c>
      <c r="BM426" s="43">
        <f t="shared" si="99"/>
        <v>0</v>
      </c>
      <c r="BN426" s="43">
        <f t="shared" si="99"/>
        <v>0</v>
      </c>
      <c r="BO426" s="43">
        <f t="shared" si="99"/>
        <v>0</v>
      </c>
      <c r="BP426" s="43">
        <f t="shared" si="99"/>
        <v>0</v>
      </c>
      <c r="BQ426" s="43">
        <f t="shared" si="99"/>
        <v>0</v>
      </c>
      <c r="BR426" s="43">
        <f t="shared" si="99"/>
        <v>0</v>
      </c>
      <c r="BS426" s="43">
        <f t="shared" si="99"/>
        <v>0</v>
      </c>
      <c r="BT426" s="43">
        <f t="shared" ref="BT426:CX426" si="100">BT412</f>
        <v>0</v>
      </c>
      <c r="BU426" s="43">
        <f t="shared" si="100"/>
        <v>0</v>
      </c>
      <c r="BV426" s="43">
        <f t="shared" si="100"/>
        <v>0</v>
      </c>
      <c r="BW426" s="43">
        <f t="shared" si="100"/>
        <v>0</v>
      </c>
      <c r="BX426" s="43">
        <f t="shared" si="100"/>
        <v>0</v>
      </c>
      <c r="BY426" s="43">
        <f t="shared" si="100"/>
        <v>0</v>
      </c>
      <c r="BZ426" s="43">
        <f t="shared" si="100"/>
        <v>0</v>
      </c>
      <c r="CA426" s="43">
        <f t="shared" si="100"/>
        <v>0</v>
      </c>
      <c r="CB426" s="43">
        <f t="shared" si="100"/>
        <v>0</v>
      </c>
      <c r="CC426" s="43">
        <f t="shared" si="100"/>
        <v>0</v>
      </c>
      <c r="CD426" s="43">
        <f t="shared" si="100"/>
        <v>0</v>
      </c>
      <c r="CE426" s="43">
        <f t="shared" si="100"/>
        <v>0</v>
      </c>
      <c r="CF426" s="43">
        <f t="shared" si="100"/>
        <v>0</v>
      </c>
      <c r="CG426" s="43">
        <f t="shared" si="100"/>
        <v>0</v>
      </c>
      <c r="CH426" s="43">
        <f t="shared" si="100"/>
        <v>0</v>
      </c>
      <c r="CI426" s="43">
        <f>CI412</f>
        <v>0</v>
      </c>
      <c r="CJ426" s="43">
        <f>CJ412</f>
        <v>0</v>
      </c>
      <c r="CK426" s="43">
        <f t="shared" si="100"/>
        <v>0</v>
      </c>
      <c r="CL426" s="43">
        <f t="shared" si="100"/>
        <v>0</v>
      </c>
      <c r="CM426" s="43">
        <f t="shared" si="100"/>
        <v>0</v>
      </c>
      <c r="CN426" s="43">
        <f t="shared" si="100"/>
        <v>0</v>
      </c>
      <c r="CO426" s="43">
        <f t="shared" si="100"/>
        <v>0</v>
      </c>
      <c r="CP426" s="43">
        <f t="shared" si="100"/>
        <v>0</v>
      </c>
      <c r="CQ426" s="43">
        <f t="shared" si="100"/>
        <v>0</v>
      </c>
      <c r="CR426" s="43">
        <f t="shared" si="100"/>
        <v>0</v>
      </c>
      <c r="CS426" s="43">
        <f t="shared" si="100"/>
        <v>0</v>
      </c>
      <c r="CT426" s="43">
        <f t="shared" si="100"/>
        <v>0</v>
      </c>
      <c r="CU426" s="43">
        <f t="shared" si="100"/>
        <v>0</v>
      </c>
      <c r="CV426" s="43">
        <f t="shared" si="100"/>
        <v>0</v>
      </c>
      <c r="CW426" s="43">
        <f t="shared" si="100"/>
        <v>0</v>
      </c>
      <c r="CX426" s="43">
        <f t="shared" si="100"/>
        <v>0</v>
      </c>
      <c r="CY426" s="43">
        <f t="shared" ref="CY426:DJ426" si="101">CY412</f>
        <v>0</v>
      </c>
      <c r="CZ426" s="43">
        <f t="shared" si="101"/>
        <v>0</v>
      </c>
      <c r="DA426" s="43">
        <f t="shared" si="101"/>
        <v>0</v>
      </c>
      <c r="DB426" s="43">
        <f t="shared" si="101"/>
        <v>0</v>
      </c>
      <c r="DC426" s="43">
        <f t="shared" si="101"/>
        <v>0</v>
      </c>
      <c r="DD426" s="43">
        <f t="shared" si="101"/>
        <v>0</v>
      </c>
      <c r="DE426" s="43">
        <f t="shared" si="101"/>
        <v>0</v>
      </c>
      <c r="DF426" s="43">
        <f t="shared" si="101"/>
        <v>0</v>
      </c>
      <c r="DG426" s="43">
        <f t="shared" si="101"/>
        <v>20000</v>
      </c>
      <c r="DH426" s="43">
        <f t="shared" si="101"/>
        <v>0</v>
      </c>
      <c r="DI426" s="43">
        <f t="shared" si="101"/>
        <v>0</v>
      </c>
      <c r="DJ426" s="43">
        <f t="shared" si="101"/>
        <v>0</v>
      </c>
      <c r="DK426" s="43"/>
      <c r="DL426" s="43"/>
      <c r="DM426" s="43"/>
      <c r="DN426" s="43"/>
      <c r="DO426" s="43"/>
      <c r="DP426" s="43"/>
      <c r="DQ426" s="43"/>
      <c r="DR426" s="43"/>
      <c r="DS426" s="43"/>
      <c r="DT426" s="43"/>
      <c r="DU426" s="43"/>
      <c r="DV426" s="43"/>
      <c r="DW426" s="43"/>
      <c r="DZ426" s="51"/>
      <c r="EA426" s="51"/>
      <c r="EB426" s="51"/>
      <c r="EC426" s="51"/>
    </row>
    <row r="427" spans="3:148" hidden="1" x14ac:dyDescent="0.2">
      <c r="E427" s="51" t="s">
        <v>229</v>
      </c>
      <c r="G427" s="43">
        <f>G426+F427-F430</f>
        <v>0</v>
      </c>
      <c r="H427" s="43">
        <f t="shared" ref="H427:AT427" si="102">H426+G427-G430</f>
        <v>0</v>
      </c>
      <c r="I427" s="43">
        <f t="shared" si="102"/>
        <v>0</v>
      </c>
      <c r="J427" s="43">
        <f t="shared" si="102"/>
        <v>0</v>
      </c>
      <c r="K427" s="43">
        <f t="shared" si="102"/>
        <v>0</v>
      </c>
      <c r="L427" s="43">
        <f t="shared" si="102"/>
        <v>0</v>
      </c>
      <c r="M427" s="43">
        <f t="shared" si="102"/>
        <v>0</v>
      </c>
      <c r="N427" s="43">
        <f t="shared" si="102"/>
        <v>0</v>
      </c>
      <c r="O427" s="43">
        <f t="shared" si="102"/>
        <v>0</v>
      </c>
      <c r="P427" s="43">
        <f t="shared" si="102"/>
        <v>0</v>
      </c>
      <c r="Q427" s="43">
        <f t="shared" si="102"/>
        <v>0</v>
      </c>
      <c r="R427" s="43">
        <f t="shared" si="102"/>
        <v>0</v>
      </c>
      <c r="S427" s="43">
        <f t="shared" si="102"/>
        <v>0</v>
      </c>
      <c r="T427" s="43">
        <f t="shared" si="102"/>
        <v>0</v>
      </c>
      <c r="U427" s="43">
        <f t="shared" si="102"/>
        <v>0</v>
      </c>
      <c r="V427" s="43">
        <f t="shared" si="102"/>
        <v>0</v>
      </c>
      <c r="W427" s="43">
        <f t="shared" si="102"/>
        <v>0</v>
      </c>
      <c r="X427" s="43">
        <f t="shared" si="102"/>
        <v>8609.4135339999993</v>
      </c>
      <c r="Y427" s="43">
        <f t="shared" si="102"/>
        <v>8609.4135339999993</v>
      </c>
      <c r="Z427" s="43">
        <f t="shared" si="102"/>
        <v>8609.4135339999993</v>
      </c>
      <c r="AA427" s="43">
        <f t="shared" si="102"/>
        <v>8609.4135339999993</v>
      </c>
      <c r="AB427" s="43">
        <f t="shared" si="102"/>
        <v>8609.4135339999993</v>
      </c>
      <c r="AC427" s="43">
        <f t="shared" si="102"/>
        <v>8609.4135339999993</v>
      </c>
      <c r="AD427" s="43">
        <f t="shared" si="102"/>
        <v>8609.4135339999993</v>
      </c>
      <c r="AE427" s="43">
        <f t="shared" si="102"/>
        <v>8607.8383219999996</v>
      </c>
      <c r="AF427" s="43">
        <f t="shared" si="102"/>
        <v>8607.8383219999996</v>
      </c>
      <c r="AG427" s="43">
        <f t="shared" si="102"/>
        <v>8607.8383219999996</v>
      </c>
      <c r="AH427" s="43">
        <f t="shared" si="102"/>
        <v>8607.8383219999996</v>
      </c>
      <c r="AI427" s="43">
        <f t="shared" si="102"/>
        <v>12607.838322</v>
      </c>
      <c r="AJ427" s="43">
        <f t="shared" si="102"/>
        <v>12607.838322</v>
      </c>
      <c r="AK427" s="43">
        <f>AK426+AJ427-AJ430</f>
        <v>18607.838322</v>
      </c>
      <c r="AL427" s="43">
        <f t="shared" si="102"/>
        <v>18607.838322</v>
      </c>
      <c r="AM427" s="43">
        <f t="shared" si="102"/>
        <v>18607.838322</v>
      </c>
      <c r="AN427" s="43">
        <f t="shared" si="102"/>
        <v>18607.838322</v>
      </c>
      <c r="AO427" s="43">
        <f t="shared" si="102"/>
        <v>18607.838322</v>
      </c>
      <c r="AP427" s="43">
        <f t="shared" si="102"/>
        <v>18607.838322</v>
      </c>
      <c r="AQ427" s="43">
        <f t="shared" si="102"/>
        <v>18607.838322</v>
      </c>
      <c r="AR427" s="43">
        <f t="shared" si="102"/>
        <v>18607.838322</v>
      </c>
      <c r="AS427" s="43">
        <f t="shared" si="102"/>
        <v>18607.838322</v>
      </c>
      <c r="AT427" s="43">
        <f t="shared" si="102"/>
        <v>18607.838322</v>
      </c>
      <c r="AU427" s="43">
        <f>AU426+AT427-AT430</f>
        <v>0</v>
      </c>
      <c r="AV427" s="43">
        <f t="shared" ref="AV427:DG427" si="103">AV426+AU427-AU430</f>
        <v>0</v>
      </c>
      <c r="AW427" s="43">
        <f t="shared" si="103"/>
        <v>0</v>
      </c>
      <c r="AX427" s="43">
        <f t="shared" si="103"/>
        <v>0</v>
      </c>
      <c r="AY427" s="43">
        <f t="shared" si="103"/>
        <v>0</v>
      </c>
      <c r="AZ427" s="43">
        <f t="shared" si="103"/>
        <v>0</v>
      </c>
      <c r="BA427" s="43">
        <f t="shared" si="103"/>
        <v>0</v>
      </c>
      <c r="BB427" s="43">
        <f t="shared" si="103"/>
        <v>0</v>
      </c>
      <c r="BC427" s="43">
        <f t="shared" si="103"/>
        <v>0</v>
      </c>
      <c r="BD427" s="43">
        <f t="shared" si="103"/>
        <v>0</v>
      </c>
      <c r="BE427" s="43">
        <f t="shared" si="103"/>
        <v>0</v>
      </c>
      <c r="BF427" s="43">
        <f t="shared" si="103"/>
        <v>0</v>
      </c>
      <c r="BG427" s="43">
        <f t="shared" si="103"/>
        <v>0</v>
      </c>
      <c r="BH427" s="43">
        <f t="shared" si="103"/>
        <v>0</v>
      </c>
      <c r="BI427" s="43">
        <f t="shared" si="103"/>
        <v>0</v>
      </c>
      <c r="BJ427" s="43">
        <f t="shared" si="103"/>
        <v>0</v>
      </c>
      <c r="BK427" s="43">
        <f t="shared" si="103"/>
        <v>0</v>
      </c>
      <c r="BL427" s="43">
        <f t="shared" si="103"/>
        <v>0</v>
      </c>
      <c r="BM427" s="43">
        <f t="shared" si="103"/>
        <v>0</v>
      </c>
      <c r="BN427" s="43">
        <f t="shared" si="103"/>
        <v>0</v>
      </c>
      <c r="BO427" s="43">
        <f t="shared" si="103"/>
        <v>0</v>
      </c>
      <c r="BP427" s="43">
        <f t="shared" si="103"/>
        <v>0</v>
      </c>
      <c r="BQ427" s="43">
        <f t="shared" si="103"/>
        <v>0</v>
      </c>
      <c r="BR427" s="43">
        <f t="shared" si="103"/>
        <v>0</v>
      </c>
      <c r="BS427" s="43">
        <f t="shared" si="103"/>
        <v>0</v>
      </c>
      <c r="BT427" s="43">
        <f t="shared" si="103"/>
        <v>0</v>
      </c>
      <c r="BU427" s="43">
        <f t="shared" si="103"/>
        <v>0</v>
      </c>
      <c r="BV427" s="43">
        <f t="shared" si="103"/>
        <v>0</v>
      </c>
      <c r="BW427" s="43">
        <f t="shared" si="103"/>
        <v>0</v>
      </c>
      <c r="BX427" s="43">
        <f t="shared" si="103"/>
        <v>0</v>
      </c>
      <c r="BY427" s="43">
        <f t="shared" si="103"/>
        <v>0</v>
      </c>
      <c r="BZ427" s="43">
        <f t="shared" si="103"/>
        <v>0</v>
      </c>
      <c r="CA427" s="43">
        <f t="shared" si="103"/>
        <v>0</v>
      </c>
      <c r="CB427" s="43">
        <f t="shared" si="103"/>
        <v>0</v>
      </c>
      <c r="CC427" s="43">
        <f t="shared" si="103"/>
        <v>0</v>
      </c>
      <c r="CD427" s="43">
        <f t="shared" si="103"/>
        <v>0</v>
      </c>
      <c r="CE427" s="43">
        <f t="shared" si="103"/>
        <v>0</v>
      </c>
      <c r="CF427" s="43">
        <f t="shared" si="103"/>
        <v>0</v>
      </c>
      <c r="CG427" s="43">
        <f t="shared" si="103"/>
        <v>0</v>
      </c>
      <c r="CH427" s="43">
        <f t="shared" si="103"/>
        <v>0</v>
      </c>
      <c r="CI427" s="43">
        <f t="shared" si="103"/>
        <v>0</v>
      </c>
      <c r="CJ427" s="43">
        <f t="shared" si="103"/>
        <v>0</v>
      </c>
      <c r="CK427" s="43">
        <f t="shared" si="103"/>
        <v>0</v>
      </c>
      <c r="CL427" s="43">
        <f t="shared" si="103"/>
        <v>0</v>
      </c>
      <c r="CM427" s="43">
        <f t="shared" si="103"/>
        <v>0</v>
      </c>
      <c r="CN427" s="43">
        <f t="shared" si="103"/>
        <v>0</v>
      </c>
      <c r="CO427" s="43">
        <f t="shared" si="103"/>
        <v>0</v>
      </c>
      <c r="CP427" s="43">
        <f t="shared" si="103"/>
        <v>0</v>
      </c>
      <c r="CQ427" s="43">
        <f t="shared" si="103"/>
        <v>0</v>
      </c>
      <c r="CR427" s="43">
        <f t="shared" si="103"/>
        <v>0</v>
      </c>
      <c r="CS427" s="43">
        <f t="shared" si="103"/>
        <v>0</v>
      </c>
      <c r="CT427" s="43">
        <f t="shared" si="103"/>
        <v>0</v>
      </c>
      <c r="CU427" s="43">
        <f t="shared" si="103"/>
        <v>0</v>
      </c>
      <c r="CV427" s="43">
        <f t="shared" si="103"/>
        <v>0</v>
      </c>
      <c r="CW427" s="43">
        <f t="shared" si="103"/>
        <v>0</v>
      </c>
      <c r="CX427" s="43">
        <f t="shared" si="103"/>
        <v>0</v>
      </c>
      <c r="CY427" s="43">
        <f t="shared" si="103"/>
        <v>0</v>
      </c>
      <c r="CZ427" s="43">
        <f t="shared" si="103"/>
        <v>0</v>
      </c>
      <c r="DA427" s="43">
        <f t="shared" si="103"/>
        <v>0</v>
      </c>
      <c r="DB427" s="43">
        <f t="shared" si="103"/>
        <v>0</v>
      </c>
      <c r="DC427" s="43">
        <f t="shared" si="103"/>
        <v>0</v>
      </c>
      <c r="DD427" s="43">
        <f t="shared" si="103"/>
        <v>0</v>
      </c>
      <c r="DE427" s="43">
        <f t="shared" si="103"/>
        <v>0</v>
      </c>
      <c r="DF427" s="43">
        <f t="shared" si="103"/>
        <v>0</v>
      </c>
      <c r="DG427" s="43">
        <f t="shared" si="103"/>
        <v>20000</v>
      </c>
      <c r="DH427" s="43">
        <f>DH426+DG427-DG430</f>
        <v>20000</v>
      </c>
      <c r="DI427" s="43">
        <f>DI426+DH427-DH430</f>
        <v>20000</v>
      </c>
      <c r="DJ427" s="43">
        <f>DJ426+DI427-DI430</f>
        <v>20000</v>
      </c>
      <c r="DK427" s="43"/>
      <c r="DL427" s="43"/>
      <c r="DM427" s="43"/>
      <c r="DN427" s="43"/>
      <c r="DO427" s="43"/>
      <c r="DP427" s="43"/>
      <c r="DQ427" s="43"/>
      <c r="DR427" s="43"/>
      <c r="DS427" s="43"/>
      <c r="DT427" s="43"/>
      <c r="DU427" s="43"/>
      <c r="DV427" s="43"/>
      <c r="DW427" s="43"/>
      <c r="DX427" s="43"/>
      <c r="DY427" s="43"/>
      <c r="DZ427" s="51"/>
      <c r="EA427" s="51"/>
      <c r="EB427" s="51"/>
      <c r="EC427" s="51"/>
    </row>
    <row r="428" spans="3:148" hidden="1" x14ac:dyDescent="0.2">
      <c r="E428" s="51" t="s">
        <v>230</v>
      </c>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v>0</v>
      </c>
      <c r="AR428" s="43">
        <v>0</v>
      </c>
      <c r="AS428" s="43"/>
      <c r="AT428" s="43">
        <v>0</v>
      </c>
      <c r="AU428" s="43">
        <v>0</v>
      </c>
      <c r="AV428" s="43"/>
      <c r="AW428" s="43">
        <v>0</v>
      </c>
      <c r="AX428" s="43">
        <v>0</v>
      </c>
      <c r="AY428" s="43"/>
      <c r="AZ428" s="43">
        <v>0</v>
      </c>
      <c r="BA428" s="43">
        <v>0</v>
      </c>
      <c r="BB428" s="43"/>
      <c r="BC428" s="43">
        <v>0</v>
      </c>
      <c r="BD428" s="43">
        <v>0</v>
      </c>
      <c r="BE428" s="43"/>
      <c r="BF428" s="43">
        <v>0</v>
      </c>
      <c r="BG428" s="43">
        <v>0</v>
      </c>
      <c r="BH428" s="43"/>
      <c r="BI428" s="43">
        <v>0</v>
      </c>
      <c r="BJ428" s="43">
        <v>0</v>
      </c>
      <c r="BK428" s="43"/>
      <c r="BL428" s="43">
        <v>0</v>
      </c>
      <c r="BM428" s="43">
        <v>0</v>
      </c>
      <c r="BN428" s="43"/>
      <c r="BO428" s="43">
        <v>0</v>
      </c>
      <c r="BP428" s="43">
        <v>0</v>
      </c>
      <c r="BQ428" s="43"/>
      <c r="BR428" s="43">
        <v>0</v>
      </c>
      <c r="BS428" s="43">
        <v>0</v>
      </c>
      <c r="BT428" s="43"/>
      <c r="BU428" s="43">
        <v>0</v>
      </c>
      <c r="BV428" s="43">
        <v>0</v>
      </c>
      <c r="BW428" s="43"/>
      <c r="BX428" s="43">
        <v>0</v>
      </c>
      <c r="BY428" s="43">
        <v>0</v>
      </c>
      <c r="BZ428" s="43"/>
      <c r="CA428" s="43">
        <v>0</v>
      </c>
      <c r="CB428" s="43">
        <v>0</v>
      </c>
      <c r="CC428" s="43"/>
      <c r="CD428" s="43">
        <v>0</v>
      </c>
      <c r="CE428" s="43">
        <v>0</v>
      </c>
      <c r="CF428" s="43"/>
      <c r="CG428" s="43">
        <v>0</v>
      </c>
      <c r="CH428" s="43">
        <v>0</v>
      </c>
      <c r="CI428" s="43"/>
      <c r="CJ428" s="43">
        <v>0</v>
      </c>
      <c r="CK428" s="43">
        <v>0</v>
      </c>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c r="DK428" s="43"/>
      <c r="DL428" s="43"/>
      <c r="DM428" s="43"/>
      <c r="DN428" s="43"/>
      <c r="DO428" s="43"/>
      <c r="DP428" s="43"/>
      <c r="DQ428" s="43"/>
      <c r="DR428" s="43"/>
      <c r="DS428" s="43"/>
      <c r="DT428" s="43"/>
      <c r="DU428" s="43"/>
      <c r="DV428" s="43"/>
      <c r="DW428" s="67"/>
      <c r="DX428" s="43"/>
      <c r="DZ428" s="76"/>
      <c r="EA428" s="51"/>
      <c r="EB428" s="51"/>
      <c r="EC428" s="51"/>
    </row>
    <row r="429" spans="3:148" hidden="1" x14ac:dyDescent="0.2">
      <c r="E429" s="51" t="s">
        <v>222</v>
      </c>
      <c r="G429" s="43">
        <v>0</v>
      </c>
      <c r="H429" s="43">
        <f t="shared" ref="H429:Z429" si="104">H427*$F$438</f>
        <v>0</v>
      </c>
      <c r="I429" s="43">
        <f t="shared" si="104"/>
        <v>0</v>
      </c>
      <c r="J429" s="43">
        <f t="shared" si="104"/>
        <v>0</v>
      </c>
      <c r="K429" s="43">
        <f t="shared" si="104"/>
        <v>0</v>
      </c>
      <c r="L429" s="43">
        <f t="shared" si="104"/>
        <v>0</v>
      </c>
      <c r="M429" s="43">
        <f t="shared" si="104"/>
        <v>0</v>
      </c>
      <c r="N429" s="43">
        <f t="shared" si="104"/>
        <v>0</v>
      </c>
      <c r="O429" s="43">
        <f t="shared" si="104"/>
        <v>0</v>
      </c>
      <c r="P429" s="43">
        <f t="shared" si="104"/>
        <v>0</v>
      </c>
      <c r="Q429" s="43">
        <f t="shared" si="104"/>
        <v>0</v>
      </c>
      <c r="R429" s="43">
        <f t="shared" si="104"/>
        <v>0</v>
      </c>
      <c r="S429" s="43">
        <f t="shared" si="104"/>
        <v>0</v>
      </c>
      <c r="T429" s="43">
        <f t="shared" si="104"/>
        <v>0</v>
      </c>
      <c r="U429" s="43">
        <f t="shared" si="104"/>
        <v>0</v>
      </c>
      <c r="V429" s="43">
        <f t="shared" si="104"/>
        <v>0</v>
      </c>
      <c r="W429" s="43">
        <f t="shared" si="104"/>
        <v>0</v>
      </c>
      <c r="X429" s="43">
        <f t="shared" si="104"/>
        <v>0</v>
      </c>
      <c r="Y429" s="43">
        <f t="shared" si="104"/>
        <v>0</v>
      </c>
      <c r="Z429" s="43">
        <f t="shared" si="104"/>
        <v>0</v>
      </c>
      <c r="AA429" s="164">
        <v>130.21953199999999</v>
      </c>
      <c r="AB429" s="43">
        <f>AB427*$F$438</f>
        <v>0</v>
      </c>
      <c r="AC429" s="43">
        <f>AC427*$F$438</f>
        <v>0</v>
      </c>
      <c r="AD429" s="491">
        <v>140.193848</v>
      </c>
      <c r="AE429" s="43">
        <f>AE427*$F$438</f>
        <v>0</v>
      </c>
      <c r="AF429" s="43">
        <f>AF427*$F$438</f>
        <v>0</v>
      </c>
      <c r="AG429" s="43">
        <v>148.65705700000001</v>
      </c>
      <c r="AH429" s="43">
        <f>AH427*$F$438</f>
        <v>0</v>
      </c>
      <c r="AI429" s="43">
        <f>AI427*$F$438</f>
        <v>0</v>
      </c>
      <c r="AJ429" s="43">
        <v>159.59597299999999</v>
      </c>
      <c r="AK429" s="43">
        <f>AK427*$F$438</f>
        <v>0</v>
      </c>
      <c r="AL429" s="43">
        <v>74.150000000000006</v>
      </c>
      <c r="AM429" s="43">
        <v>160.68251799999999</v>
      </c>
      <c r="AN429" s="43">
        <v>114.02549999999999</v>
      </c>
      <c r="AO429" s="43">
        <v>74.564999999999998</v>
      </c>
      <c r="AP429" s="43">
        <v>160.01325800000001</v>
      </c>
      <c r="AQ429" s="43">
        <v>109.51349999999999</v>
      </c>
      <c r="AR429" s="43">
        <v>78.406999999999996</v>
      </c>
      <c r="AS429" s="43">
        <v>155.32844299999999</v>
      </c>
      <c r="AT429" s="43">
        <f>+AT414</f>
        <v>218.12913499999999</v>
      </c>
      <c r="AU429" s="43"/>
      <c r="AV429" s="43"/>
      <c r="AW429" s="43"/>
      <c r="AX429" s="43"/>
      <c r="AY429" s="43"/>
      <c r="AZ429" s="43"/>
      <c r="BA429" s="43"/>
      <c r="BB429" s="43"/>
      <c r="BC429" s="43"/>
      <c r="BD429" s="43"/>
      <c r="BE429" s="43"/>
      <c r="BF429" s="43"/>
      <c r="BG429" s="43"/>
      <c r="BH429" s="43">
        <f>+BH414</f>
        <v>0</v>
      </c>
      <c r="BI429" s="43">
        <f t="shared" ref="BI429:CX429" si="105">+BI414</f>
        <v>0</v>
      </c>
      <c r="BJ429" s="43">
        <f t="shared" si="105"/>
        <v>0</v>
      </c>
      <c r="BK429" s="43">
        <f t="shared" si="105"/>
        <v>0</v>
      </c>
      <c r="BL429" s="43">
        <f t="shared" si="105"/>
        <v>0</v>
      </c>
      <c r="BM429" s="43">
        <f t="shared" si="105"/>
        <v>0</v>
      </c>
      <c r="BN429" s="43">
        <f t="shared" si="105"/>
        <v>0</v>
      </c>
      <c r="BO429" s="43">
        <f t="shared" si="105"/>
        <v>0</v>
      </c>
      <c r="BP429" s="43">
        <f t="shared" si="105"/>
        <v>0</v>
      </c>
      <c r="BQ429" s="43">
        <f t="shared" si="105"/>
        <v>0</v>
      </c>
      <c r="BR429" s="43">
        <f t="shared" si="105"/>
        <v>0</v>
      </c>
      <c r="BS429" s="43">
        <f t="shared" si="105"/>
        <v>0</v>
      </c>
      <c r="BT429" s="43">
        <f t="shared" si="105"/>
        <v>0</v>
      </c>
      <c r="BU429" s="43">
        <f t="shared" si="105"/>
        <v>0</v>
      </c>
      <c r="BV429" s="43">
        <f t="shared" si="105"/>
        <v>0</v>
      </c>
      <c r="BW429" s="43">
        <f t="shared" si="105"/>
        <v>0</v>
      </c>
      <c r="BX429" s="43">
        <f t="shared" si="105"/>
        <v>0</v>
      </c>
      <c r="BY429" s="43">
        <f t="shared" si="105"/>
        <v>0</v>
      </c>
      <c r="BZ429" s="43">
        <f t="shared" si="105"/>
        <v>0</v>
      </c>
      <c r="CA429" s="43">
        <f t="shared" si="105"/>
        <v>0</v>
      </c>
      <c r="CB429" s="43">
        <f t="shared" si="105"/>
        <v>0</v>
      </c>
      <c r="CC429" s="43">
        <f t="shared" si="105"/>
        <v>0</v>
      </c>
      <c r="CD429" s="43">
        <f t="shared" si="105"/>
        <v>0</v>
      </c>
      <c r="CE429" s="43">
        <f t="shared" si="105"/>
        <v>0</v>
      </c>
      <c r="CF429" s="43">
        <f t="shared" si="105"/>
        <v>0</v>
      </c>
      <c r="CG429" s="43">
        <f t="shared" si="105"/>
        <v>0</v>
      </c>
      <c r="CH429" s="43">
        <f t="shared" si="105"/>
        <v>0</v>
      </c>
      <c r="CI429" s="43">
        <f t="shared" si="105"/>
        <v>0</v>
      </c>
      <c r="CJ429" s="43">
        <f t="shared" si="105"/>
        <v>0</v>
      </c>
      <c r="CK429" s="43">
        <f t="shared" si="105"/>
        <v>0</v>
      </c>
      <c r="CL429" s="43">
        <f t="shared" si="105"/>
        <v>0</v>
      </c>
      <c r="CM429" s="43">
        <f t="shared" si="105"/>
        <v>0</v>
      </c>
      <c r="CN429" s="43">
        <f t="shared" si="105"/>
        <v>0</v>
      </c>
      <c r="CO429" s="43">
        <f t="shared" si="105"/>
        <v>0</v>
      </c>
      <c r="CP429" s="43">
        <f t="shared" si="105"/>
        <v>0</v>
      </c>
      <c r="CQ429" s="43">
        <f t="shared" si="105"/>
        <v>0</v>
      </c>
      <c r="CR429" s="43">
        <f t="shared" si="105"/>
        <v>0</v>
      </c>
      <c r="CS429" s="43">
        <f t="shared" si="105"/>
        <v>0</v>
      </c>
      <c r="CT429" s="43">
        <f t="shared" si="105"/>
        <v>0</v>
      </c>
      <c r="CU429" s="43">
        <f t="shared" si="105"/>
        <v>0</v>
      </c>
      <c r="CV429" s="43">
        <f>+CV414</f>
        <v>0</v>
      </c>
      <c r="CW429" s="43">
        <f t="shared" si="105"/>
        <v>0</v>
      </c>
      <c r="CX429" s="43">
        <f t="shared" si="105"/>
        <v>0</v>
      </c>
      <c r="CY429" s="43">
        <f t="shared" ref="CY429:DI429" si="106">+CY414</f>
        <v>0</v>
      </c>
      <c r="CZ429" s="43">
        <f t="shared" si="106"/>
        <v>0</v>
      </c>
      <c r="DA429" s="43">
        <f t="shared" si="106"/>
        <v>0</v>
      </c>
      <c r="DB429" s="43">
        <f t="shared" si="106"/>
        <v>0</v>
      </c>
      <c r="DC429" s="43">
        <f t="shared" si="106"/>
        <v>0</v>
      </c>
      <c r="DD429" s="43">
        <f t="shared" si="106"/>
        <v>0</v>
      </c>
      <c r="DE429" s="43">
        <f t="shared" si="106"/>
        <v>0</v>
      </c>
      <c r="DF429" s="43">
        <f t="shared" si="106"/>
        <v>0</v>
      </c>
      <c r="DG429" s="43">
        <f t="shared" si="106"/>
        <v>0</v>
      </c>
      <c r="DH429" s="43">
        <f t="shared" si="106"/>
        <v>0</v>
      </c>
      <c r="DI429" s="43">
        <f t="shared" si="106"/>
        <v>0</v>
      </c>
      <c r="DJ429" s="43">
        <f>+DJ414</f>
        <v>550.00000000000159</v>
      </c>
      <c r="DK429" s="43"/>
      <c r="DL429" s="43"/>
      <c r="DM429" s="43"/>
      <c r="DN429" s="43"/>
      <c r="DO429" s="43"/>
      <c r="DP429" s="43"/>
      <c r="DQ429" s="43"/>
      <c r="DR429" s="43"/>
      <c r="DS429" s="43"/>
      <c r="DT429" s="43"/>
      <c r="DU429" s="43"/>
      <c r="DV429" s="43"/>
      <c r="DW429" s="66"/>
      <c r="DX429" s="43"/>
      <c r="DY429" s="76"/>
      <c r="DZ429" s="67"/>
      <c r="EA429" s="51"/>
      <c r="EB429" s="51"/>
      <c r="EC429" s="51"/>
    </row>
    <row r="430" spans="3:148" hidden="1" x14ac:dyDescent="0.2">
      <c r="E430" s="51" t="s">
        <v>223</v>
      </c>
      <c r="G430" s="43">
        <f>+G415</f>
        <v>0</v>
      </c>
      <c r="H430" s="43">
        <f t="shared" ref="H430:AR430" si="107">+H415</f>
        <v>0</v>
      </c>
      <c r="I430" s="43">
        <f t="shared" si="107"/>
        <v>0</v>
      </c>
      <c r="J430" s="43">
        <f t="shared" si="107"/>
        <v>0</v>
      </c>
      <c r="K430" s="43">
        <f t="shared" si="107"/>
        <v>0</v>
      </c>
      <c r="L430" s="43">
        <f t="shared" si="107"/>
        <v>0</v>
      </c>
      <c r="M430" s="43">
        <f t="shared" si="107"/>
        <v>0</v>
      </c>
      <c r="N430" s="43">
        <f t="shared" si="107"/>
        <v>0</v>
      </c>
      <c r="O430" s="43">
        <f t="shared" si="107"/>
        <v>0</v>
      </c>
      <c r="P430" s="43">
        <f t="shared" si="107"/>
        <v>0</v>
      </c>
      <c r="Q430" s="43">
        <f t="shared" si="107"/>
        <v>0</v>
      </c>
      <c r="R430" s="43">
        <f t="shared" si="107"/>
        <v>0</v>
      </c>
      <c r="S430" s="43">
        <f t="shared" si="107"/>
        <v>0</v>
      </c>
      <c r="T430" s="43">
        <f t="shared" si="107"/>
        <v>0</v>
      </c>
      <c r="U430" s="43">
        <f t="shared" si="107"/>
        <v>0</v>
      </c>
      <c r="V430" s="43">
        <f t="shared" si="107"/>
        <v>0</v>
      </c>
      <c r="W430" s="43">
        <f t="shared" si="107"/>
        <v>0</v>
      </c>
      <c r="X430" s="43">
        <f t="shared" si="107"/>
        <v>0</v>
      </c>
      <c r="Y430" s="43">
        <f t="shared" si="107"/>
        <v>0</v>
      </c>
      <c r="Z430" s="43">
        <f t="shared" si="107"/>
        <v>0</v>
      </c>
      <c r="AA430" s="43">
        <f t="shared" si="107"/>
        <v>0</v>
      </c>
      <c r="AB430" s="43">
        <f t="shared" si="107"/>
        <v>0</v>
      </c>
      <c r="AC430" s="43">
        <f t="shared" si="107"/>
        <v>0</v>
      </c>
      <c r="AD430" s="491">
        <v>1.5752120000000001</v>
      </c>
      <c r="AE430" s="43">
        <f t="shared" si="107"/>
        <v>0</v>
      </c>
      <c r="AF430" s="43">
        <f t="shared" si="107"/>
        <v>0</v>
      </c>
      <c r="AG430" s="43">
        <f t="shared" si="107"/>
        <v>0</v>
      </c>
      <c r="AH430" s="43">
        <f t="shared" si="107"/>
        <v>0</v>
      </c>
      <c r="AI430" s="43">
        <f t="shared" si="107"/>
        <v>0</v>
      </c>
      <c r="AJ430" s="43">
        <f t="shared" si="107"/>
        <v>0</v>
      </c>
      <c r="AK430" s="43">
        <f t="shared" si="107"/>
        <v>0</v>
      </c>
      <c r="AL430" s="43">
        <f t="shared" si="107"/>
        <v>0</v>
      </c>
      <c r="AM430" s="43">
        <f t="shared" si="107"/>
        <v>0</v>
      </c>
      <c r="AN430" s="43">
        <f t="shared" si="107"/>
        <v>0</v>
      </c>
      <c r="AO430" s="43">
        <f t="shared" si="107"/>
        <v>0</v>
      </c>
      <c r="AP430" s="43">
        <f>+AP415</f>
        <v>0</v>
      </c>
      <c r="AQ430" s="43">
        <f t="shared" si="107"/>
        <v>0</v>
      </c>
      <c r="AR430" s="43">
        <f t="shared" si="107"/>
        <v>0</v>
      </c>
      <c r="AS430" s="43">
        <f>+AS415</f>
        <v>0</v>
      </c>
      <c r="AT430" s="43">
        <f>+AT415</f>
        <v>18607.838322</v>
      </c>
      <c r="AU430" s="43">
        <f t="shared" ref="AU430:BG430" si="108">+AU415</f>
        <v>0</v>
      </c>
      <c r="AV430" s="43">
        <f t="shared" si="108"/>
        <v>0</v>
      </c>
      <c r="AW430" s="43">
        <f t="shared" si="108"/>
        <v>0</v>
      </c>
      <c r="AX430" s="43">
        <f t="shared" si="108"/>
        <v>0</v>
      </c>
      <c r="AY430" s="43">
        <f t="shared" si="108"/>
        <v>0</v>
      </c>
      <c r="AZ430" s="43">
        <f t="shared" si="108"/>
        <v>0</v>
      </c>
      <c r="BA430" s="43">
        <f t="shared" si="108"/>
        <v>0</v>
      </c>
      <c r="BB430" s="43">
        <f t="shared" si="108"/>
        <v>0</v>
      </c>
      <c r="BC430" s="43">
        <f t="shared" si="108"/>
        <v>0</v>
      </c>
      <c r="BD430" s="43">
        <f t="shared" si="108"/>
        <v>0</v>
      </c>
      <c r="BE430" s="43">
        <f t="shared" si="108"/>
        <v>0</v>
      </c>
      <c r="BF430" s="43">
        <f t="shared" si="108"/>
        <v>0</v>
      </c>
      <c r="BG430" s="43">
        <f t="shared" si="108"/>
        <v>0</v>
      </c>
      <c r="BH430" s="43">
        <f>+BH415</f>
        <v>0</v>
      </c>
      <c r="BI430" s="43">
        <f t="shared" ref="BI430:CX430" si="109">+BI415</f>
        <v>0</v>
      </c>
      <c r="BJ430" s="43">
        <f t="shared" si="109"/>
        <v>0</v>
      </c>
      <c r="BK430" s="43">
        <f t="shared" si="109"/>
        <v>0</v>
      </c>
      <c r="BL430" s="43">
        <f t="shared" si="109"/>
        <v>0</v>
      </c>
      <c r="BM430" s="43">
        <f t="shared" si="109"/>
        <v>0</v>
      </c>
      <c r="BN430" s="43">
        <f t="shared" si="109"/>
        <v>0</v>
      </c>
      <c r="BO430" s="43">
        <f t="shared" si="109"/>
        <v>0</v>
      </c>
      <c r="BP430" s="43">
        <f t="shared" si="109"/>
        <v>0</v>
      </c>
      <c r="BQ430" s="43">
        <f t="shared" si="109"/>
        <v>0</v>
      </c>
      <c r="BR430" s="43">
        <f t="shared" si="109"/>
        <v>0</v>
      </c>
      <c r="BS430" s="43">
        <f t="shared" si="109"/>
        <v>0</v>
      </c>
      <c r="BT430" s="43">
        <f t="shared" si="109"/>
        <v>0</v>
      </c>
      <c r="BU430" s="43">
        <f t="shared" si="109"/>
        <v>0</v>
      </c>
      <c r="BV430" s="43">
        <f t="shared" si="109"/>
        <v>0</v>
      </c>
      <c r="BW430" s="43">
        <f t="shared" si="109"/>
        <v>0</v>
      </c>
      <c r="BX430" s="43">
        <f t="shared" si="109"/>
        <v>0</v>
      </c>
      <c r="BY430" s="43">
        <f t="shared" si="109"/>
        <v>0</v>
      </c>
      <c r="BZ430" s="43">
        <f t="shared" si="109"/>
        <v>0</v>
      </c>
      <c r="CA430" s="43">
        <f t="shared" si="109"/>
        <v>0</v>
      </c>
      <c r="CB430" s="43">
        <f t="shared" si="109"/>
        <v>0</v>
      </c>
      <c r="CC430" s="43">
        <f t="shared" si="109"/>
        <v>0</v>
      </c>
      <c r="CD430" s="43">
        <f t="shared" si="109"/>
        <v>0</v>
      </c>
      <c r="CE430" s="43">
        <f t="shared" si="109"/>
        <v>0</v>
      </c>
      <c r="CF430" s="43">
        <f t="shared" si="109"/>
        <v>0</v>
      </c>
      <c r="CG430" s="43">
        <f t="shared" si="109"/>
        <v>0</v>
      </c>
      <c r="CH430" s="43">
        <f t="shared" si="109"/>
        <v>0</v>
      </c>
      <c r="CI430" s="43">
        <f t="shared" si="109"/>
        <v>0</v>
      </c>
      <c r="CJ430" s="43">
        <f t="shared" si="109"/>
        <v>0</v>
      </c>
      <c r="CK430" s="43">
        <f t="shared" si="109"/>
        <v>0</v>
      </c>
      <c r="CL430" s="43">
        <f t="shared" si="109"/>
        <v>0</v>
      </c>
      <c r="CM430" s="43">
        <f t="shared" si="109"/>
        <v>0</v>
      </c>
      <c r="CN430" s="43">
        <f t="shared" si="109"/>
        <v>0</v>
      </c>
      <c r="CO430" s="43">
        <f t="shared" si="109"/>
        <v>0</v>
      </c>
      <c r="CP430" s="43">
        <f t="shared" si="109"/>
        <v>0</v>
      </c>
      <c r="CQ430" s="43">
        <f t="shared" si="109"/>
        <v>0</v>
      </c>
      <c r="CR430" s="43">
        <f t="shared" si="109"/>
        <v>0</v>
      </c>
      <c r="CS430" s="43">
        <f t="shared" si="109"/>
        <v>0</v>
      </c>
      <c r="CT430" s="43">
        <f t="shared" si="109"/>
        <v>0</v>
      </c>
      <c r="CU430" s="43">
        <f t="shared" si="109"/>
        <v>0</v>
      </c>
      <c r="CV430" s="43">
        <f t="shared" si="109"/>
        <v>0</v>
      </c>
      <c r="CW430" s="43">
        <f t="shared" si="109"/>
        <v>0</v>
      </c>
      <c r="CX430" s="43">
        <f t="shared" si="109"/>
        <v>0</v>
      </c>
      <c r="CY430" s="43">
        <f t="shared" ref="CY430:DJ430" si="110">+CY415</f>
        <v>0</v>
      </c>
      <c r="CZ430" s="43">
        <f t="shared" si="110"/>
        <v>0</v>
      </c>
      <c r="DA430" s="43">
        <f t="shared" si="110"/>
        <v>0</v>
      </c>
      <c r="DB430" s="43">
        <f t="shared" si="110"/>
        <v>0</v>
      </c>
      <c r="DC430" s="43">
        <f t="shared" si="110"/>
        <v>0</v>
      </c>
      <c r="DD430" s="43">
        <f t="shared" si="110"/>
        <v>0</v>
      </c>
      <c r="DE430" s="43">
        <f t="shared" si="110"/>
        <v>0</v>
      </c>
      <c r="DF430" s="43">
        <f t="shared" si="110"/>
        <v>0</v>
      </c>
      <c r="DG430" s="43">
        <f t="shared" si="110"/>
        <v>0</v>
      </c>
      <c r="DH430" s="43">
        <f t="shared" si="110"/>
        <v>0</v>
      </c>
      <c r="DI430" s="43">
        <f t="shared" si="110"/>
        <v>0</v>
      </c>
      <c r="DJ430" s="43">
        <f t="shared" si="110"/>
        <v>4000</v>
      </c>
      <c r="DK430" s="43"/>
      <c r="DL430" s="43"/>
      <c r="DM430" s="43"/>
      <c r="DN430" s="43"/>
      <c r="DO430" s="43"/>
      <c r="DP430" s="43"/>
      <c r="DQ430" s="43"/>
      <c r="DR430" s="43"/>
      <c r="DS430" s="43"/>
      <c r="DT430" s="43"/>
      <c r="DU430" s="43"/>
      <c r="DV430" s="43"/>
      <c r="DW430" s="66"/>
      <c r="DX430" s="43"/>
      <c r="DY430" s="76"/>
      <c r="DZ430" s="76"/>
      <c r="EA430" s="76"/>
      <c r="EB430" s="51"/>
      <c r="EC430" s="51"/>
    </row>
    <row r="431" spans="3:148" x14ac:dyDescent="0.2">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c r="DK431" s="43"/>
      <c r="DL431" s="43"/>
      <c r="DM431" s="43"/>
      <c r="DN431" s="43"/>
      <c r="DO431" s="43"/>
      <c r="DP431" s="43"/>
      <c r="DQ431" s="43"/>
      <c r="DR431" s="43"/>
      <c r="DS431" s="43"/>
      <c r="DT431" s="43"/>
      <c r="DU431" s="43"/>
      <c r="DV431" s="43"/>
      <c r="DW431" s="76"/>
      <c r="DX431" s="43"/>
      <c r="DZ431" s="51"/>
      <c r="EA431" s="51"/>
      <c r="EB431" s="51"/>
      <c r="EC431" s="51"/>
    </row>
    <row r="432" spans="3:148" ht="12.75" x14ac:dyDescent="0.2">
      <c r="C432" s="70"/>
      <c r="D432" s="165"/>
      <c r="F432" s="412"/>
      <c r="G432" s="166"/>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c r="DK432" s="43"/>
      <c r="DL432" s="43"/>
      <c r="DM432" s="43"/>
      <c r="DN432" s="43"/>
      <c r="DO432" s="43"/>
      <c r="DP432" s="43"/>
      <c r="DQ432" s="43"/>
      <c r="DR432" s="43"/>
      <c r="DS432" s="43"/>
      <c r="DT432" s="43"/>
      <c r="DU432" s="43"/>
      <c r="DV432" s="43"/>
      <c r="DZ432" s="76"/>
      <c r="EA432" s="76"/>
      <c r="EB432" s="51"/>
      <c r="EC432" s="51"/>
    </row>
    <row r="433" spans="1:133" x14ac:dyDescent="0.2">
      <c r="C433" s="70"/>
      <c r="D433" s="165"/>
      <c r="F433" s="231"/>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c r="DK433" s="43"/>
      <c r="DL433" s="43"/>
      <c r="DM433" s="43"/>
      <c r="DN433" s="43"/>
      <c r="DO433" s="43"/>
      <c r="DP433" s="43"/>
      <c r="DQ433" s="43"/>
      <c r="DR433" s="43"/>
      <c r="DS433" s="43"/>
      <c r="DT433" s="43"/>
      <c r="DU433" s="43"/>
      <c r="DV433" s="43"/>
      <c r="DZ433" s="51"/>
      <c r="EA433" s="51"/>
      <c r="EB433" s="51"/>
      <c r="EC433" s="51"/>
    </row>
    <row r="434" spans="1:133" ht="12.75" x14ac:dyDescent="0.2">
      <c r="C434" s="70"/>
      <c r="D434" s="165"/>
      <c r="F434" s="231"/>
      <c r="G434" s="166"/>
      <c r="H434" s="51"/>
      <c r="I434" s="51"/>
      <c r="J434" s="51"/>
      <c r="K434" s="51"/>
      <c r="L434" s="51"/>
      <c r="M434" s="51"/>
      <c r="N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83"/>
      <c r="BF434" s="51"/>
      <c r="BG434" s="51"/>
      <c r="BH434" s="51"/>
      <c r="BI434" s="51"/>
      <c r="BJ434" s="51"/>
      <c r="BK434" s="51"/>
      <c r="BL434" s="51"/>
      <c r="BM434" s="51"/>
      <c r="BN434" s="51"/>
      <c r="BO434" s="51"/>
      <c r="BP434" s="51"/>
      <c r="BQ434" s="51"/>
      <c r="BR434" s="51"/>
      <c r="BS434" s="51"/>
      <c r="BT434" s="51"/>
      <c r="BU434" s="51"/>
      <c r="BV434" s="51"/>
      <c r="BW434" s="51"/>
      <c r="BX434" s="51"/>
      <c r="BY434" s="51"/>
      <c r="BZ434" s="51"/>
      <c r="CA434" s="51"/>
      <c r="CB434" s="51"/>
      <c r="CC434" s="51"/>
      <c r="CD434" s="51"/>
      <c r="CE434" s="51"/>
      <c r="CF434" s="51"/>
      <c r="CG434" s="51"/>
      <c r="CH434" s="51"/>
      <c r="CI434" s="51"/>
      <c r="CJ434" s="51"/>
      <c r="CK434" s="51"/>
      <c r="CL434" s="51"/>
      <c r="CM434" s="51"/>
      <c r="CN434" s="51"/>
      <c r="CO434" s="51"/>
      <c r="CP434" s="51"/>
      <c r="CQ434" s="51"/>
      <c r="CR434" s="51"/>
      <c r="CS434" s="51"/>
      <c r="CT434" s="51"/>
      <c r="CU434" s="51"/>
      <c r="CV434" s="51"/>
      <c r="CW434" s="51"/>
      <c r="CX434" s="51"/>
      <c r="CY434" s="51"/>
      <c r="CZ434" s="51"/>
      <c r="DA434" s="51"/>
      <c r="DB434" s="51"/>
      <c r="DC434" s="51"/>
      <c r="DD434" s="51"/>
      <c r="DE434" s="51"/>
      <c r="DF434" s="51"/>
      <c r="DG434" s="51"/>
      <c r="DH434" s="51"/>
      <c r="DI434" s="51"/>
      <c r="DJ434" s="51"/>
      <c r="DK434" s="51"/>
      <c r="DL434" s="51"/>
      <c r="DM434" s="51"/>
      <c r="DN434" s="51"/>
      <c r="DO434" s="51"/>
      <c r="DP434" s="51"/>
      <c r="DQ434" s="51"/>
      <c r="DR434" s="51"/>
      <c r="DS434" s="51"/>
      <c r="DT434" s="51"/>
      <c r="DU434" s="51"/>
      <c r="DV434" s="51"/>
      <c r="DZ434" s="51"/>
      <c r="EA434" s="51"/>
      <c r="EB434" s="51"/>
      <c r="EC434" s="51"/>
    </row>
    <row r="435" spans="1:133" ht="12.75" x14ac:dyDescent="0.2">
      <c r="C435" s="70"/>
      <c r="D435" s="165"/>
      <c r="F435" s="231"/>
      <c r="G435" s="166"/>
      <c r="H435" s="51"/>
      <c r="I435" s="51"/>
      <c r="J435" s="51"/>
      <c r="K435" s="51"/>
      <c r="L435" s="51"/>
      <c r="M435" s="51"/>
      <c r="N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83"/>
      <c r="BF435" s="51"/>
      <c r="BG435" s="51"/>
      <c r="BH435" s="51"/>
      <c r="BI435" s="51"/>
      <c r="BJ435" s="51"/>
      <c r="BK435" s="51"/>
      <c r="BL435" s="51"/>
      <c r="BM435" s="51"/>
      <c r="BN435" s="51"/>
      <c r="BO435" s="51"/>
      <c r="BP435" s="51"/>
      <c r="BQ435" s="51"/>
      <c r="BR435" s="51"/>
      <c r="BS435" s="51"/>
      <c r="BT435" s="51"/>
      <c r="BU435" s="51"/>
      <c r="BV435" s="51"/>
      <c r="BW435" s="51"/>
      <c r="BX435" s="51"/>
      <c r="BY435" s="51"/>
      <c r="BZ435" s="51"/>
      <c r="CA435" s="51"/>
      <c r="CB435" s="51"/>
      <c r="CC435" s="51"/>
      <c r="CD435" s="51"/>
      <c r="CE435" s="51"/>
      <c r="CF435" s="51"/>
      <c r="CG435" s="51"/>
      <c r="CH435" s="51"/>
      <c r="CI435" s="51"/>
      <c r="CJ435" s="51"/>
      <c r="CK435" s="51"/>
      <c r="CL435" s="51"/>
      <c r="CM435" s="51"/>
      <c r="CN435" s="51"/>
      <c r="CO435" s="51"/>
      <c r="CP435" s="51"/>
      <c r="CQ435" s="51"/>
      <c r="CR435" s="51"/>
      <c r="CS435" s="51"/>
      <c r="CT435" s="51"/>
      <c r="CU435" s="51"/>
      <c r="CV435" s="51"/>
      <c r="CW435" s="51"/>
      <c r="CX435" s="51"/>
      <c r="CY435" s="51"/>
      <c r="CZ435" s="51"/>
      <c r="DA435" s="51"/>
      <c r="DB435" s="51"/>
      <c r="DC435" s="51"/>
      <c r="DD435" s="51"/>
      <c r="DE435" s="51"/>
      <c r="DF435" s="51"/>
      <c r="DG435" s="51"/>
      <c r="DH435" s="51"/>
      <c r="DI435" s="51"/>
      <c r="DJ435" s="51"/>
      <c r="DK435" s="51"/>
      <c r="DL435" s="51"/>
      <c r="DM435" s="51"/>
      <c r="DN435" s="51"/>
      <c r="DO435" s="51"/>
      <c r="DP435" s="51"/>
      <c r="DQ435" s="51"/>
      <c r="DR435" s="51"/>
      <c r="DS435" s="51"/>
      <c r="DT435" s="51"/>
      <c r="DU435" s="51"/>
      <c r="DV435" s="51"/>
      <c r="DZ435" s="51"/>
      <c r="EA435" s="76"/>
      <c r="EB435" s="51"/>
      <c r="EC435" s="51"/>
    </row>
    <row r="436" spans="1:133" ht="12.75" x14ac:dyDescent="0.2">
      <c r="C436" s="70"/>
      <c r="D436" s="165"/>
      <c r="F436" s="412"/>
      <c r="G436" s="166"/>
      <c r="H436" s="51"/>
      <c r="I436" s="51"/>
      <c r="J436" s="51"/>
      <c r="K436" s="51"/>
      <c r="L436" s="51"/>
      <c r="M436" s="51"/>
      <c r="N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83"/>
      <c r="BF436" s="51"/>
      <c r="BG436" s="51"/>
      <c r="BH436" s="51"/>
      <c r="BI436" s="51"/>
      <c r="BJ436" s="51"/>
      <c r="BK436" s="51"/>
      <c r="BL436" s="51"/>
      <c r="BM436" s="51"/>
      <c r="BN436" s="51"/>
      <c r="BO436" s="51"/>
      <c r="BP436" s="51"/>
      <c r="BQ436" s="51"/>
      <c r="BR436" s="51"/>
      <c r="BS436" s="51"/>
      <c r="BT436" s="51"/>
      <c r="BU436" s="51"/>
      <c r="BV436" s="51"/>
      <c r="BW436" s="51"/>
      <c r="BX436" s="51"/>
      <c r="BY436" s="51"/>
      <c r="BZ436" s="51"/>
      <c r="CA436" s="51"/>
      <c r="CB436" s="51"/>
      <c r="CC436" s="51"/>
      <c r="CD436" s="51"/>
      <c r="CE436" s="51"/>
      <c r="CF436" s="51"/>
      <c r="CG436" s="51"/>
      <c r="CH436" s="51"/>
      <c r="CI436" s="51"/>
      <c r="CJ436" s="51"/>
      <c r="CK436" s="51"/>
      <c r="CL436" s="51"/>
      <c r="CM436" s="51"/>
      <c r="CN436" s="51"/>
      <c r="CO436" s="51"/>
      <c r="CP436" s="51"/>
      <c r="CQ436" s="51"/>
      <c r="CR436" s="51"/>
      <c r="CS436" s="51"/>
      <c r="CT436" s="51"/>
      <c r="CU436" s="51"/>
      <c r="CV436" s="51"/>
      <c r="CW436" s="51"/>
      <c r="CX436" s="51"/>
      <c r="CY436" s="51"/>
      <c r="CZ436" s="51"/>
      <c r="DA436" s="51"/>
      <c r="DB436" s="51"/>
      <c r="DC436" s="51"/>
      <c r="DD436" s="51"/>
      <c r="DE436" s="51"/>
      <c r="DF436" s="51"/>
      <c r="DG436" s="51"/>
      <c r="DH436" s="51"/>
      <c r="DI436" s="51"/>
      <c r="DJ436" s="51"/>
      <c r="DK436" s="51"/>
      <c r="DL436" s="51"/>
      <c r="DM436" s="51"/>
      <c r="DN436" s="51"/>
      <c r="DO436" s="51"/>
      <c r="DP436" s="51"/>
      <c r="DQ436" s="51"/>
      <c r="DR436" s="51"/>
      <c r="DS436" s="51"/>
      <c r="DT436" s="51"/>
      <c r="DU436" s="51"/>
      <c r="DV436" s="51"/>
      <c r="DZ436" s="51"/>
      <c r="EA436" s="51"/>
      <c r="EB436" s="51"/>
      <c r="EC436" s="51"/>
    </row>
    <row r="437" spans="1:133" ht="12.75" x14ac:dyDescent="0.2">
      <c r="C437" s="70"/>
      <c r="D437" s="165"/>
      <c r="F437" s="231"/>
      <c r="G437" s="166"/>
      <c r="H437" s="51"/>
      <c r="I437" s="51"/>
      <c r="J437" s="51"/>
      <c r="K437" s="51"/>
      <c r="L437" s="51"/>
      <c r="M437" s="51"/>
      <c r="N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83"/>
      <c r="BF437" s="51"/>
      <c r="BG437" s="51"/>
      <c r="BH437" s="51"/>
      <c r="BI437" s="51"/>
      <c r="BJ437" s="51"/>
      <c r="BK437" s="51"/>
      <c r="BL437" s="51"/>
      <c r="BM437" s="51"/>
      <c r="BN437" s="51"/>
      <c r="BO437" s="51"/>
      <c r="BP437" s="51"/>
      <c r="BQ437" s="51"/>
      <c r="BR437" s="51"/>
      <c r="BS437" s="51"/>
      <c r="BT437" s="51"/>
      <c r="BU437" s="51"/>
      <c r="BV437" s="51"/>
      <c r="BW437" s="51"/>
      <c r="BX437" s="51"/>
      <c r="BY437" s="51"/>
      <c r="BZ437" s="51"/>
      <c r="CA437" s="51"/>
      <c r="CB437" s="51"/>
      <c r="CC437" s="51"/>
      <c r="CD437" s="51"/>
      <c r="CE437" s="51"/>
      <c r="CF437" s="51"/>
      <c r="CG437" s="51"/>
      <c r="CH437" s="51"/>
      <c r="CI437" s="51"/>
      <c r="CJ437" s="51"/>
      <c r="CK437" s="51"/>
      <c r="CL437" s="51"/>
      <c r="CM437" s="51"/>
      <c r="CN437" s="51"/>
      <c r="CO437" s="51"/>
      <c r="CP437" s="51"/>
      <c r="CQ437" s="51"/>
      <c r="CR437" s="51"/>
      <c r="CS437" s="51"/>
      <c r="CT437" s="51"/>
      <c r="CU437" s="51"/>
      <c r="CV437" s="51"/>
      <c r="CW437" s="51"/>
      <c r="CX437" s="51"/>
      <c r="CY437" s="51"/>
      <c r="CZ437" s="51"/>
      <c r="DA437" s="51"/>
      <c r="DB437" s="51"/>
      <c r="DC437" s="51"/>
      <c r="DD437" s="51"/>
      <c r="DE437" s="51"/>
      <c r="DF437" s="51"/>
      <c r="DG437" s="51"/>
      <c r="DH437" s="51"/>
      <c r="DI437" s="51"/>
      <c r="DJ437" s="51"/>
      <c r="DK437" s="51"/>
      <c r="DL437" s="51"/>
      <c r="DM437" s="51"/>
      <c r="DN437" s="51"/>
      <c r="DO437" s="51"/>
      <c r="DP437" s="51"/>
      <c r="DQ437" s="51"/>
      <c r="DR437" s="51"/>
      <c r="DS437" s="51"/>
      <c r="DT437" s="51"/>
      <c r="DU437" s="51"/>
      <c r="DV437" s="51"/>
      <c r="DZ437" s="51"/>
      <c r="EA437" s="51"/>
      <c r="EB437" s="51"/>
      <c r="EC437" s="51"/>
    </row>
    <row r="438" spans="1:133" ht="12.75" x14ac:dyDescent="0.2">
      <c r="C438" s="70"/>
      <c r="F438" s="231"/>
      <c r="G438" s="166"/>
      <c r="H438" s="51"/>
      <c r="I438" s="51"/>
      <c r="J438" s="51"/>
      <c r="K438" s="51"/>
      <c r="L438" s="51"/>
      <c r="M438" s="51"/>
      <c r="N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83"/>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c r="CU438" s="51"/>
      <c r="CV438" s="51"/>
      <c r="CW438" s="51"/>
      <c r="CX438" s="51"/>
      <c r="CY438" s="51"/>
      <c r="CZ438" s="51"/>
      <c r="DA438" s="51"/>
      <c r="DB438" s="51"/>
      <c r="DC438" s="51"/>
      <c r="DD438" s="51"/>
      <c r="DE438" s="51"/>
      <c r="DF438" s="51"/>
      <c r="DG438" s="51"/>
      <c r="DH438" s="51"/>
      <c r="DI438" s="51"/>
      <c r="DJ438" s="51"/>
      <c r="DK438" s="51"/>
      <c r="DL438" s="51"/>
      <c r="DM438" s="51"/>
      <c r="DN438" s="51"/>
      <c r="DO438" s="51"/>
      <c r="DP438" s="51"/>
      <c r="DQ438" s="51"/>
      <c r="DR438" s="51"/>
      <c r="DS438" s="51"/>
      <c r="DT438" s="51"/>
      <c r="DU438" s="51"/>
      <c r="DV438" s="51"/>
      <c r="DZ438" s="51"/>
      <c r="EA438" s="51"/>
      <c r="EB438" s="51"/>
      <c r="EC438" s="51"/>
    </row>
    <row r="439" spans="1:133" x14ac:dyDescent="0.2">
      <c r="C439" s="70"/>
      <c r="F439" s="231"/>
      <c r="G439" s="51"/>
      <c r="H439" s="51"/>
      <c r="I439" s="51"/>
      <c r="J439" s="51"/>
      <c r="K439" s="51"/>
      <c r="L439" s="51"/>
      <c r="M439" s="51"/>
      <c r="N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c r="DE439" s="51"/>
      <c r="DF439" s="51"/>
      <c r="DG439" s="51"/>
      <c r="DH439" s="51"/>
      <c r="DI439" s="51"/>
      <c r="DJ439" s="51"/>
      <c r="DK439" s="51"/>
      <c r="DL439" s="51"/>
      <c r="DM439" s="51"/>
      <c r="DN439" s="51"/>
      <c r="DO439" s="51"/>
      <c r="DP439" s="51"/>
      <c r="DQ439" s="51"/>
      <c r="DR439" s="51"/>
      <c r="DS439" s="51"/>
      <c r="DT439" s="51"/>
      <c r="DU439" s="51"/>
      <c r="DV439" s="51"/>
      <c r="DZ439" s="51"/>
      <c r="EA439" s="51"/>
      <c r="EB439" s="51"/>
      <c r="EC439" s="51"/>
    </row>
    <row r="440" spans="1:133" x14ac:dyDescent="0.2">
      <c r="D440" s="59"/>
      <c r="F440" s="231"/>
      <c r="G440" s="51"/>
      <c r="H440" s="51"/>
      <c r="I440" s="51"/>
      <c r="J440" s="51"/>
      <c r="K440" s="51"/>
      <c r="L440" s="51"/>
      <c r="M440" s="51"/>
      <c r="N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c r="DE440" s="51"/>
      <c r="DF440" s="51"/>
      <c r="DG440" s="51"/>
      <c r="DH440" s="51"/>
      <c r="DI440" s="51"/>
      <c r="DJ440" s="51"/>
      <c r="DK440" s="51"/>
      <c r="DL440" s="51"/>
      <c r="DM440" s="51"/>
      <c r="DN440" s="51"/>
      <c r="DO440" s="51"/>
      <c r="DP440" s="51"/>
      <c r="DQ440" s="51"/>
      <c r="DR440" s="51"/>
      <c r="DS440" s="51"/>
      <c r="DT440" s="51"/>
      <c r="DU440" s="51"/>
      <c r="DV440" s="51"/>
      <c r="EA440" s="51"/>
      <c r="EB440" s="51"/>
      <c r="EC440" s="51"/>
    </row>
    <row r="441" spans="1:133" x14ac:dyDescent="0.2">
      <c r="F441" s="231"/>
      <c r="G441" s="51"/>
      <c r="H441" s="51"/>
      <c r="I441" s="51"/>
      <c r="J441" s="51"/>
      <c r="K441" s="51"/>
      <c r="L441" s="51"/>
      <c r="M441" s="51"/>
      <c r="N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c r="DE441" s="51"/>
      <c r="DF441" s="51"/>
      <c r="DG441" s="51"/>
      <c r="DH441" s="51"/>
      <c r="DI441" s="51"/>
      <c r="DJ441" s="51"/>
      <c r="DK441" s="51"/>
      <c r="DL441" s="51"/>
      <c r="DM441" s="51"/>
      <c r="DN441" s="51"/>
      <c r="DO441" s="51"/>
      <c r="DP441" s="51"/>
      <c r="DQ441" s="51"/>
      <c r="DR441" s="51"/>
      <c r="DS441" s="51"/>
      <c r="DT441" s="51"/>
      <c r="DU441" s="51"/>
      <c r="DV441" s="51"/>
      <c r="EA441" s="51"/>
      <c r="EB441" s="51"/>
      <c r="EC441" s="51"/>
    </row>
    <row r="442" spans="1:133" x14ac:dyDescent="0.2">
      <c r="F442" s="82"/>
      <c r="G442" s="51"/>
      <c r="H442" s="51"/>
      <c r="I442" s="51"/>
      <c r="J442" s="51"/>
      <c r="K442" s="51"/>
      <c r="L442" s="51"/>
      <c r="M442" s="51"/>
      <c r="N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EA442" s="51"/>
      <c r="EB442" s="51"/>
      <c r="EC442" s="51"/>
    </row>
    <row r="443" spans="1:133" x14ac:dyDescent="0.2">
      <c r="D443" s="59"/>
      <c r="F443" s="82"/>
      <c r="G443" s="51"/>
      <c r="H443" s="51"/>
      <c r="I443" s="51"/>
      <c r="J443" s="51"/>
      <c r="K443" s="51"/>
      <c r="L443" s="51"/>
      <c r="M443" s="51"/>
      <c r="N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c r="CU443" s="51"/>
      <c r="CV443" s="51"/>
      <c r="CW443" s="51"/>
      <c r="CX443" s="51"/>
      <c r="CY443" s="51"/>
      <c r="CZ443" s="51"/>
      <c r="DA443" s="51"/>
      <c r="DB443" s="51"/>
      <c r="DC443" s="51"/>
      <c r="DD443" s="51"/>
      <c r="DE443" s="51"/>
      <c r="DF443" s="51"/>
      <c r="DG443" s="51"/>
      <c r="DH443" s="51"/>
      <c r="DI443" s="51"/>
      <c r="DJ443" s="51"/>
      <c r="DK443" s="51"/>
      <c r="DL443" s="51"/>
      <c r="DM443" s="51"/>
      <c r="DN443" s="51"/>
      <c r="DO443" s="51"/>
      <c r="DP443" s="51"/>
      <c r="DQ443" s="51"/>
      <c r="DR443" s="51"/>
      <c r="DS443" s="51"/>
      <c r="DT443" s="51"/>
      <c r="DU443" s="51"/>
      <c r="DV443" s="51"/>
      <c r="EA443" s="51"/>
      <c r="EB443" s="51"/>
      <c r="EC443" s="51"/>
    </row>
    <row r="444" spans="1:133" hidden="1" x14ac:dyDescent="0.2">
      <c r="A444" s="51">
        <v>1</v>
      </c>
      <c r="B444" s="51">
        <f>+A444+1</f>
        <v>2</v>
      </c>
      <c r="C444" s="51">
        <f t="shared" ref="C444:BN444" si="111">+B444+1</f>
        <v>3</v>
      </c>
      <c r="D444" s="51">
        <f t="shared" si="111"/>
        <v>4</v>
      </c>
      <c r="E444" s="51">
        <f t="shared" si="111"/>
        <v>5</v>
      </c>
      <c r="F444" s="51">
        <f>+E444+1</f>
        <v>6</v>
      </c>
      <c r="G444" s="51">
        <f t="shared" si="111"/>
        <v>7</v>
      </c>
      <c r="H444" s="51">
        <f t="shared" si="111"/>
        <v>8</v>
      </c>
      <c r="I444" s="51">
        <f t="shared" si="111"/>
        <v>9</v>
      </c>
      <c r="J444" s="51">
        <f t="shared" si="111"/>
        <v>10</v>
      </c>
      <c r="K444" s="51">
        <f t="shared" si="111"/>
        <v>11</v>
      </c>
      <c r="L444" s="51">
        <f t="shared" si="111"/>
        <v>12</v>
      </c>
      <c r="M444" s="51">
        <f t="shared" si="111"/>
        <v>13</v>
      </c>
      <c r="N444" s="51">
        <f t="shared" si="111"/>
        <v>14</v>
      </c>
      <c r="O444" s="51">
        <f t="shared" si="111"/>
        <v>15</v>
      </c>
      <c r="P444" s="51">
        <f t="shared" si="111"/>
        <v>16</v>
      </c>
      <c r="Q444" s="51">
        <f t="shared" si="111"/>
        <v>17</v>
      </c>
      <c r="R444" s="51">
        <f t="shared" si="111"/>
        <v>18</v>
      </c>
      <c r="S444" s="51">
        <f t="shared" si="111"/>
        <v>19</v>
      </c>
      <c r="T444" s="51">
        <f t="shared" si="111"/>
        <v>20</v>
      </c>
      <c r="U444" s="51">
        <f t="shared" si="111"/>
        <v>21</v>
      </c>
      <c r="V444" s="51">
        <f t="shared" si="111"/>
        <v>22</v>
      </c>
      <c r="W444" s="51">
        <f t="shared" si="111"/>
        <v>23</v>
      </c>
      <c r="X444" s="51">
        <f t="shared" si="111"/>
        <v>24</v>
      </c>
      <c r="Y444" s="51">
        <f t="shared" si="111"/>
        <v>25</v>
      </c>
      <c r="Z444" s="51">
        <f t="shared" si="111"/>
        <v>26</v>
      </c>
      <c r="AA444" s="51">
        <f t="shared" si="111"/>
        <v>27</v>
      </c>
      <c r="AB444" s="51">
        <f t="shared" si="111"/>
        <v>28</v>
      </c>
      <c r="AC444" s="51">
        <f t="shared" si="111"/>
        <v>29</v>
      </c>
      <c r="AD444" s="51">
        <f t="shared" si="111"/>
        <v>30</v>
      </c>
      <c r="AE444" s="51">
        <f t="shared" si="111"/>
        <v>31</v>
      </c>
      <c r="AF444" s="51">
        <f t="shared" si="111"/>
        <v>32</v>
      </c>
      <c r="AG444" s="51">
        <f t="shared" si="111"/>
        <v>33</v>
      </c>
      <c r="AH444" s="51">
        <f t="shared" si="111"/>
        <v>34</v>
      </c>
      <c r="AI444" s="51">
        <f t="shared" si="111"/>
        <v>35</v>
      </c>
      <c r="AJ444" s="51">
        <f t="shared" si="111"/>
        <v>36</v>
      </c>
      <c r="AK444" s="51">
        <f t="shared" si="111"/>
        <v>37</v>
      </c>
      <c r="AL444" s="51">
        <f t="shared" si="111"/>
        <v>38</v>
      </c>
      <c r="AM444" s="51">
        <f t="shared" si="111"/>
        <v>39</v>
      </c>
      <c r="AN444" s="51">
        <f t="shared" si="111"/>
        <v>40</v>
      </c>
      <c r="AO444" s="51">
        <f t="shared" si="111"/>
        <v>41</v>
      </c>
      <c r="AP444" s="51">
        <f t="shared" si="111"/>
        <v>42</v>
      </c>
      <c r="AQ444" s="51">
        <f t="shared" si="111"/>
        <v>43</v>
      </c>
      <c r="AR444" s="51">
        <f t="shared" si="111"/>
        <v>44</v>
      </c>
      <c r="AS444" s="51">
        <f t="shared" si="111"/>
        <v>45</v>
      </c>
      <c r="AT444" s="51">
        <f t="shared" si="111"/>
        <v>46</v>
      </c>
      <c r="AU444" s="51">
        <f t="shared" si="111"/>
        <v>47</v>
      </c>
      <c r="AV444" s="51">
        <f t="shared" si="111"/>
        <v>48</v>
      </c>
      <c r="AW444" s="51">
        <f t="shared" si="111"/>
        <v>49</v>
      </c>
      <c r="AX444" s="51">
        <f t="shared" si="111"/>
        <v>50</v>
      </c>
      <c r="AY444" s="51">
        <f t="shared" si="111"/>
        <v>51</v>
      </c>
      <c r="AZ444" s="51">
        <f t="shared" si="111"/>
        <v>52</v>
      </c>
      <c r="BA444" s="51">
        <f t="shared" si="111"/>
        <v>53</v>
      </c>
      <c r="BB444" s="51">
        <f t="shared" si="111"/>
        <v>54</v>
      </c>
      <c r="BC444" s="51">
        <f t="shared" si="111"/>
        <v>55</v>
      </c>
      <c r="BD444" s="51">
        <f t="shared" si="111"/>
        <v>56</v>
      </c>
      <c r="BE444" s="51">
        <f t="shared" si="111"/>
        <v>57</v>
      </c>
      <c r="BF444" s="51">
        <f t="shared" si="111"/>
        <v>58</v>
      </c>
      <c r="BG444" s="51">
        <f t="shared" si="111"/>
        <v>59</v>
      </c>
      <c r="BH444" s="51">
        <f t="shared" si="111"/>
        <v>60</v>
      </c>
      <c r="BI444" s="51">
        <f t="shared" si="111"/>
        <v>61</v>
      </c>
      <c r="BJ444" s="51">
        <f t="shared" si="111"/>
        <v>62</v>
      </c>
      <c r="BK444" s="51">
        <f t="shared" si="111"/>
        <v>63</v>
      </c>
      <c r="BL444" s="51">
        <f t="shared" si="111"/>
        <v>64</v>
      </c>
      <c r="BM444" s="51">
        <f t="shared" si="111"/>
        <v>65</v>
      </c>
      <c r="BN444" s="51">
        <f t="shared" si="111"/>
        <v>66</v>
      </c>
      <c r="BO444" s="51">
        <f t="shared" ref="BO444:CL444" si="112">+BN444+1</f>
        <v>67</v>
      </c>
      <c r="BP444" s="51">
        <f t="shared" si="112"/>
        <v>68</v>
      </c>
      <c r="BQ444" s="51">
        <f t="shared" si="112"/>
        <v>69</v>
      </c>
      <c r="BR444" s="51">
        <f t="shared" si="112"/>
        <v>70</v>
      </c>
      <c r="BS444" s="51">
        <f t="shared" si="112"/>
        <v>71</v>
      </c>
      <c r="BT444" s="51">
        <f t="shared" si="112"/>
        <v>72</v>
      </c>
      <c r="BU444" s="51">
        <f t="shared" si="112"/>
        <v>73</v>
      </c>
      <c r="BV444" s="51">
        <f t="shared" si="112"/>
        <v>74</v>
      </c>
      <c r="BW444" s="51">
        <f t="shared" si="112"/>
        <v>75</v>
      </c>
      <c r="BX444" s="51">
        <f t="shared" si="112"/>
        <v>76</v>
      </c>
      <c r="BY444" s="51">
        <f t="shared" si="112"/>
        <v>77</v>
      </c>
      <c r="BZ444" s="51">
        <f t="shared" si="112"/>
        <v>78</v>
      </c>
      <c r="CA444" s="51">
        <f t="shared" si="112"/>
        <v>79</v>
      </c>
      <c r="CB444" s="51">
        <f t="shared" si="112"/>
        <v>80</v>
      </c>
      <c r="CC444" s="51">
        <f t="shared" si="112"/>
        <v>81</v>
      </c>
      <c r="CD444" s="51">
        <f t="shared" si="112"/>
        <v>82</v>
      </c>
      <c r="CE444" s="51">
        <f t="shared" si="112"/>
        <v>83</v>
      </c>
      <c r="CF444" s="51">
        <f t="shared" si="112"/>
        <v>84</v>
      </c>
      <c r="CG444" s="51">
        <f t="shared" si="112"/>
        <v>85</v>
      </c>
      <c r="CH444" s="51">
        <f t="shared" si="112"/>
        <v>86</v>
      </c>
      <c r="CI444" s="51">
        <f t="shared" si="112"/>
        <v>87</v>
      </c>
      <c r="CJ444" s="51">
        <f t="shared" si="112"/>
        <v>88</v>
      </c>
      <c r="CK444" s="51">
        <f t="shared" si="112"/>
        <v>89</v>
      </c>
      <c r="CL444" s="51">
        <f t="shared" si="112"/>
        <v>90</v>
      </c>
      <c r="CM444" s="51"/>
      <c r="CN444" s="51"/>
      <c r="CO444" s="51"/>
      <c r="CP444" s="51"/>
      <c r="CQ444" s="51"/>
      <c r="CR444" s="51"/>
      <c r="CS444" s="51"/>
      <c r="CT444" s="51"/>
      <c r="CU444" s="51"/>
      <c r="CV444" s="51"/>
      <c r="CW444" s="51"/>
      <c r="CX444" s="51"/>
      <c r="CY444" s="51"/>
      <c r="CZ444" s="51"/>
      <c r="DA444" s="51"/>
      <c r="DB444" s="51"/>
      <c r="DC444" s="51"/>
      <c r="DD444" s="51"/>
      <c r="DE444" s="51"/>
      <c r="DF444" s="51"/>
      <c r="DG444" s="51"/>
      <c r="DH444" s="51"/>
      <c r="DI444" s="51"/>
      <c r="DJ444" s="51"/>
      <c r="DK444" s="51"/>
      <c r="DL444" s="51"/>
      <c r="DM444" s="51"/>
      <c r="DN444" s="51"/>
      <c r="DO444" s="51"/>
      <c r="DP444" s="51"/>
      <c r="DQ444" s="51"/>
      <c r="DR444" s="51"/>
      <c r="DS444" s="51"/>
      <c r="DT444" s="51"/>
      <c r="DU444" s="51"/>
      <c r="DV444" s="51"/>
      <c r="DW444" s="51">
        <f>+CL444+1</f>
        <v>91</v>
      </c>
      <c r="DX444" s="51">
        <f>+DW444+1</f>
        <v>92</v>
      </c>
      <c r="DY444" s="51">
        <f>+DX444+1</f>
        <v>93</v>
      </c>
      <c r="DZ444" s="51">
        <f>+DY444+1</f>
        <v>94</v>
      </c>
      <c r="EA444" s="51"/>
      <c r="EB444" s="51"/>
      <c r="EC444" s="51"/>
    </row>
    <row r="445" spans="1:133" hidden="1" x14ac:dyDescent="0.2">
      <c r="F445" s="82"/>
      <c r="G445" s="51"/>
      <c r="H445" s="51"/>
      <c r="I445" s="51"/>
      <c r="J445" s="51"/>
      <c r="K445" s="51"/>
      <c r="L445" s="51"/>
      <c r="M445" s="51"/>
      <c r="N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c r="CU445" s="51"/>
      <c r="CV445" s="51"/>
      <c r="CW445" s="51"/>
      <c r="CX445" s="51"/>
      <c r="CY445" s="51"/>
      <c r="CZ445" s="51"/>
      <c r="DA445" s="51"/>
      <c r="DB445" s="51"/>
      <c r="DC445" s="51"/>
      <c r="DD445" s="51"/>
      <c r="DE445" s="51"/>
      <c r="DF445" s="51"/>
      <c r="DG445" s="51"/>
      <c r="DH445" s="51"/>
      <c r="DI445" s="51"/>
      <c r="DJ445" s="51"/>
      <c r="DK445" s="51"/>
      <c r="DL445" s="51"/>
      <c r="DM445" s="51"/>
      <c r="DN445" s="51"/>
      <c r="DO445" s="51"/>
      <c r="DP445" s="51"/>
      <c r="DQ445" s="51"/>
      <c r="DR445" s="51"/>
      <c r="DS445" s="51"/>
      <c r="DT445" s="51"/>
      <c r="DU445" s="51"/>
      <c r="DV445" s="51"/>
      <c r="EA445" s="51"/>
      <c r="EB445" s="51"/>
      <c r="EC445" s="51"/>
    </row>
    <row r="446" spans="1:133" ht="12.75" hidden="1" thickBot="1" x14ac:dyDescent="0.25">
      <c r="G446" s="51"/>
      <c r="H446" s="51"/>
      <c r="I446" s="51"/>
      <c r="J446" s="51"/>
      <c r="K446" s="51"/>
      <c r="L446" s="51"/>
      <c r="M446" s="51"/>
      <c r="N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c r="CU446" s="51"/>
      <c r="CV446" s="51"/>
      <c r="CW446" s="51"/>
      <c r="CX446" s="51"/>
      <c r="CY446" s="51"/>
      <c r="CZ446" s="51"/>
      <c r="DA446" s="51"/>
      <c r="DB446" s="51"/>
      <c r="DC446" s="51"/>
      <c r="DD446" s="51"/>
      <c r="DE446" s="51"/>
      <c r="DF446" s="51"/>
      <c r="DG446" s="51"/>
      <c r="DH446" s="51"/>
      <c r="DI446" s="51"/>
      <c r="DJ446" s="51"/>
      <c r="DK446" s="51"/>
      <c r="DL446" s="51"/>
      <c r="DM446" s="51"/>
      <c r="DN446" s="51"/>
      <c r="DO446" s="51"/>
      <c r="DP446" s="51"/>
      <c r="DQ446" s="51"/>
      <c r="DR446" s="51"/>
      <c r="DS446" s="51"/>
      <c r="DT446" s="51"/>
      <c r="DU446" s="51"/>
      <c r="DV446" s="51"/>
      <c r="EA446" s="51"/>
      <c r="EB446" s="51"/>
      <c r="EC446" s="51"/>
    </row>
    <row r="447" spans="1:133" ht="18" hidden="1" x14ac:dyDescent="0.25">
      <c r="E447" s="84" t="s">
        <v>231</v>
      </c>
      <c r="F447" s="85"/>
      <c r="G447" s="86">
        <v>2010</v>
      </c>
      <c r="H447" s="86">
        <v>2011</v>
      </c>
      <c r="I447" s="86">
        <v>2012</v>
      </c>
      <c r="J447" s="86">
        <v>2013</v>
      </c>
      <c r="K447" s="86">
        <v>2014</v>
      </c>
      <c r="L447" s="86">
        <v>2015</v>
      </c>
      <c r="M447" s="86">
        <v>2016</v>
      </c>
      <c r="N447" s="86">
        <v>2017</v>
      </c>
      <c r="O447" s="86">
        <v>2018</v>
      </c>
      <c r="P447" s="49">
        <v>2019</v>
      </c>
      <c r="Q447" s="97" t="s">
        <v>202</v>
      </c>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c r="CU447" s="51"/>
      <c r="CV447" s="51"/>
      <c r="CW447" s="51"/>
      <c r="CX447" s="51"/>
      <c r="CY447" s="51"/>
      <c r="CZ447" s="51"/>
      <c r="DA447" s="51"/>
      <c r="DB447" s="51"/>
      <c r="DC447" s="51"/>
      <c r="DD447" s="51"/>
      <c r="DE447" s="51"/>
      <c r="DF447" s="51"/>
      <c r="DG447" s="51"/>
      <c r="DH447" s="51"/>
      <c r="DI447" s="51"/>
      <c r="DJ447" s="51"/>
      <c r="DK447" s="51"/>
      <c r="DL447" s="51"/>
      <c r="DM447" s="51"/>
      <c r="DN447" s="51"/>
      <c r="DO447" s="51"/>
      <c r="DP447" s="51"/>
      <c r="DQ447" s="51"/>
      <c r="DR447" s="51"/>
      <c r="DS447" s="51"/>
      <c r="DT447" s="51"/>
      <c r="DU447" s="51"/>
      <c r="DV447" s="51"/>
      <c r="EA447" s="51"/>
      <c r="EB447" s="51"/>
      <c r="EC447" s="51"/>
    </row>
    <row r="448" spans="1:133" hidden="1" x14ac:dyDescent="0.2">
      <c r="E448" s="88" t="s">
        <v>214</v>
      </c>
      <c r="G448" s="43">
        <f t="shared" ref="G448:L449" si="113">SUMIF($G$399:$BZ$399,G$447,$G401:$BZ401)</f>
        <v>0</v>
      </c>
      <c r="H448" s="43">
        <f t="shared" si="113"/>
        <v>6826.0504129999999</v>
      </c>
      <c r="I448" s="43">
        <f t="shared" si="113"/>
        <v>24801.482962000002</v>
      </c>
      <c r="J448" s="43">
        <f t="shared" si="113"/>
        <v>24770.094435907999</v>
      </c>
      <c r="K448" s="43">
        <f t="shared" si="113"/>
        <v>23150.106357000001</v>
      </c>
      <c r="L448" s="43">
        <f t="shared" si="113"/>
        <v>18789</v>
      </c>
      <c r="M448" s="43">
        <f>SUM(CA6:CL6)</f>
        <v>1700</v>
      </c>
      <c r="N448" s="43">
        <f>SUM(CM6:CX6)</f>
        <v>16827.358574999998</v>
      </c>
      <c r="O448" s="76">
        <f>SUM(CY6:DJ6)</f>
        <v>41911.582650000004</v>
      </c>
      <c r="P448" s="51">
        <f>SUBTOTAL(9,DK6:DV6)</f>
        <v>28988.259461000001</v>
      </c>
      <c r="Q448" s="355">
        <f>SUM(G448:P448)</f>
        <v>187763.93485390799</v>
      </c>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304"/>
      <c r="AT448" s="51"/>
      <c r="AU448" s="51"/>
      <c r="AV448" s="51"/>
      <c r="AW448" s="51"/>
      <c r="AX448" s="51"/>
      <c r="AY448" s="51"/>
      <c r="AZ448" s="51"/>
      <c r="BA448" s="357"/>
      <c r="BB448" s="76"/>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c r="CU448" s="51"/>
      <c r="CV448" s="51"/>
      <c r="CW448" s="51"/>
      <c r="CX448" s="51"/>
      <c r="CY448" s="51"/>
      <c r="CZ448" s="51"/>
      <c r="DA448" s="51"/>
      <c r="DB448" s="51"/>
      <c r="DC448" s="51"/>
      <c r="DD448" s="51"/>
      <c r="DE448" s="51"/>
      <c r="DF448" s="51"/>
      <c r="DG448" s="51"/>
      <c r="DH448" s="51"/>
      <c r="DI448" s="51"/>
      <c r="DJ448" s="51"/>
      <c r="DK448" s="51"/>
      <c r="DL448" s="51"/>
      <c r="DM448" s="51"/>
      <c r="DN448" s="51"/>
      <c r="DO448" s="51"/>
      <c r="DP448" s="51"/>
      <c r="DQ448" s="51"/>
      <c r="DR448" s="51"/>
      <c r="DS448" s="51"/>
      <c r="DT448" s="51"/>
      <c r="DU448" s="51"/>
      <c r="DV448" s="51"/>
      <c r="EA448" s="51"/>
      <c r="EB448" s="51"/>
      <c r="EC448" s="51"/>
    </row>
    <row r="449" spans="5:133" hidden="1" x14ac:dyDescent="0.2">
      <c r="E449" s="88" t="s">
        <v>232</v>
      </c>
      <c r="G449" s="43">
        <f t="shared" si="113"/>
        <v>14769.907753</v>
      </c>
      <c r="H449" s="43">
        <f t="shared" si="113"/>
        <v>6302.7225040000012</v>
      </c>
      <c r="I449" s="43">
        <f t="shared" si="113"/>
        <v>10186.202974</v>
      </c>
      <c r="J449" s="43">
        <f t="shared" si="113"/>
        <v>12733</v>
      </c>
      <c r="K449" s="43">
        <f t="shared" si="113"/>
        <v>11734.000000000002</v>
      </c>
      <c r="L449" s="43">
        <f t="shared" si="113"/>
        <v>12928.881203000001</v>
      </c>
      <c r="M449" s="43">
        <f>SUM(CA9:CL9)</f>
        <v>3000</v>
      </c>
      <c r="N449" s="381">
        <f>SUM(CM9:CX9)</f>
        <v>0</v>
      </c>
      <c r="O449" s="76">
        <f>SUM(CY9:DJ9)</f>
        <v>0</v>
      </c>
      <c r="P449" s="76">
        <f>SUM(CZ9:DK9)</f>
        <v>0</v>
      </c>
      <c r="Q449" s="355">
        <f>SUM(G449:P449)</f>
        <v>71654.714433999994</v>
      </c>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304"/>
      <c r="AT449" s="51"/>
      <c r="AU449" s="51"/>
      <c r="AV449" s="51"/>
      <c r="AW449" s="51"/>
      <c r="AX449" s="51"/>
      <c r="AY449" s="51"/>
      <c r="AZ449" s="51"/>
      <c r="BA449" s="357"/>
      <c r="BB449" s="76"/>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c r="CZ449" s="51"/>
      <c r="DA449" s="51"/>
      <c r="DB449" s="51"/>
      <c r="DC449" s="51"/>
      <c r="DD449" s="51"/>
      <c r="DE449" s="51"/>
      <c r="DF449" s="51"/>
      <c r="DG449" s="51"/>
      <c r="DH449" s="51"/>
      <c r="DI449" s="51"/>
      <c r="DJ449" s="51"/>
      <c r="DK449" s="51"/>
      <c r="DL449" s="51"/>
      <c r="DM449" s="51"/>
      <c r="DN449" s="51"/>
      <c r="DO449" s="51"/>
      <c r="DP449" s="51"/>
      <c r="DQ449" s="51"/>
      <c r="DR449" s="51"/>
      <c r="DS449" s="51"/>
      <c r="DT449" s="51"/>
      <c r="DU449" s="51"/>
      <c r="DV449" s="51"/>
      <c r="EA449" s="51"/>
      <c r="EB449" s="51"/>
      <c r="EC449" s="51"/>
    </row>
    <row r="450" spans="5:133" hidden="1" x14ac:dyDescent="0.2">
      <c r="E450" s="89" t="s">
        <v>216</v>
      </c>
      <c r="F450" s="49"/>
      <c r="G450" s="62">
        <f t="shared" ref="G450:P450" si="114">SUM(G448:G449)</f>
        <v>14769.907753</v>
      </c>
      <c r="H450" s="62">
        <f t="shared" si="114"/>
        <v>13128.772917000002</v>
      </c>
      <c r="I450" s="62">
        <f t="shared" si="114"/>
        <v>34987.685936000002</v>
      </c>
      <c r="J450" s="62">
        <f t="shared" si="114"/>
        <v>37503.094435908002</v>
      </c>
      <c r="K450" s="62">
        <f t="shared" si="114"/>
        <v>34884.106357000004</v>
      </c>
      <c r="L450" s="62">
        <f t="shared" si="114"/>
        <v>31717.881203000001</v>
      </c>
      <c r="M450" s="62">
        <f t="shared" si="114"/>
        <v>4700</v>
      </c>
      <c r="N450" s="62">
        <f t="shared" si="114"/>
        <v>16827.358574999998</v>
      </c>
      <c r="O450" s="62">
        <f t="shared" si="114"/>
        <v>41911.582650000004</v>
      </c>
      <c r="P450" s="62">
        <f t="shared" si="114"/>
        <v>28988.259461000001</v>
      </c>
      <c r="Q450" s="355">
        <f>SUM(G450:P450)</f>
        <v>259418.64928790802</v>
      </c>
      <c r="R450" s="77" t="s">
        <v>398</v>
      </c>
      <c r="S450" s="67">
        <f>+Q450-Q454</f>
        <v>13142.712723820092</v>
      </c>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358"/>
      <c r="BB450" s="76"/>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c r="CU450" s="51"/>
      <c r="CV450" s="51"/>
      <c r="CW450" s="51"/>
      <c r="CX450" s="51"/>
      <c r="CY450" s="51"/>
      <c r="CZ450" s="51"/>
      <c r="DA450" s="51"/>
      <c r="DB450" s="51"/>
      <c r="DC450" s="51"/>
      <c r="DD450" s="51"/>
      <c r="DE450" s="51"/>
      <c r="DF450" s="51"/>
      <c r="DG450" s="51"/>
      <c r="DH450" s="51"/>
      <c r="DI450" s="51"/>
      <c r="DJ450" s="51"/>
      <c r="DK450" s="51"/>
      <c r="DL450" s="51"/>
      <c r="DM450" s="51"/>
      <c r="DN450" s="51"/>
      <c r="DO450" s="51"/>
      <c r="DP450" s="51"/>
      <c r="DQ450" s="51"/>
      <c r="DR450" s="51"/>
      <c r="DS450" s="51"/>
      <c r="DT450" s="51"/>
      <c r="DU450" s="51"/>
      <c r="DV450" s="51"/>
      <c r="EA450" s="51"/>
      <c r="EB450" s="51"/>
      <c r="EC450" s="51"/>
    </row>
    <row r="451" spans="5:133" hidden="1" x14ac:dyDescent="0.2">
      <c r="E451" s="89"/>
      <c r="F451" s="49"/>
      <c r="G451" s="62"/>
      <c r="H451" s="62"/>
      <c r="I451" s="62"/>
      <c r="J451" s="62"/>
      <c r="K451" s="62"/>
      <c r="L451" s="62"/>
      <c r="M451" s="62"/>
      <c r="Q451" s="90"/>
      <c r="R451" s="51"/>
      <c r="S451" s="67"/>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304"/>
      <c r="AT451" s="49"/>
      <c r="AU451" s="51"/>
      <c r="AV451" s="51"/>
      <c r="AW451" s="51"/>
      <c r="AX451" s="51"/>
      <c r="AY451" s="51"/>
      <c r="AZ451" s="51"/>
      <c r="BA451" s="357"/>
      <c r="BB451" s="359"/>
      <c r="BC451" s="51"/>
      <c r="BD451" s="51"/>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c r="CU451" s="51"/>
      <c r="CV451" s="51"/>
      <c r="CW451" s="51"/>
      <c r="CX451" s="51"/>
      <c r="CY451" s="51"/>
      <c r="CZ451" s="51"/>
      <c r="DA451" s="51"/>
      <c r="DB451" s="51"/>
      <c r="DC451" s="51"/>
      <c r="DD451" s="51"/>
      <c r="DE451" s="51"/>
      <c r="DF451" s="51"/>
      <c r="DG451" s="51"/>
      <c r="DH451" s="51"/>
      <c r="DI451" s="51"/>
      <c r="DJ451" s="51"/>
      <c r="DK451" s="51"/>
      <c r="DL451" s="51"/>
      <c r="DM451" s="51"/>
      <c r="DN451" s="51"/>
      <c r="DO451" s="51"/>
      <c r="DP451" s="51"/>
      <c r="DQ451" s="51"/>
      <c r="DR451" s="51"/>
      <c r="DS451" s="51"/>
      <c r="DT451" s="51"/>
      <c r="DU451" s="51"/>
      <c r="DV451" s="51"/>
      <c r="EA451" s="51"/>
      <c r="EB451" s="51"/>
      <c r="EC451" s="51"/>
    </row>
    <row r="452" spans="5:133" hidden="1" x14ac:dyDescent="0.2">
      <c r="E452" s="88" t="s">
        <v>233</v>
      </c>
      <c r="F452" s="49"/>
      <c r="G452" s="43">
        <f t="shared" ref="G452:M453" si="115">SUMIF($G$399:$CL$399,G$447,$G405:$CL405)</f>
        <v>0</v>
      </c>
      <c r="H452" s="43">
        <f t="shared" si="115"/>
        <v>8451.674982999999</v>
      </c>
      <c r="I452" s="43">
        <f t="shared" si="115"/>
        <v>23568.833937740001</v>
      </c>
      <c r="J452" s="43">
        <f t="shared" si="115"/>
        <v>13441.427036923351</v>
      </c>
      <c r="K452" s="43">
        <f t="shared" si="115"/>
        <v>27893.932272837908</v>
      </c>
      <c r="L452" s="43">
        <f t="shared" si="115"/>
        <v>16699.443236289997</v>
      </c>
      <c r="M452" s="43">
        <f t="shared" si="115"/>
        <v>13802.167216000002</v>
      </c>
      <c r="N452" s="43">
        <f>SUMIF($G$399:$CX$399,N$447,$G405:$CX405)</f>
        <v>17402.504327999999</v>
      </c>
      <c r="O452" s="43">
        <f>SUM(CY382:DJ382)</f>
        <v>23256.845190778979</v>
      </c>
      <c r="P452" s="43">
        <f>SUBTOTAL(9,DK382:DV382)</f>
        <v>43247.106652337789</v>
      </c>
      <c r="Q452" s="90">
        <f>+M452+L452+K452++J452+I452+H452+G452+N452+O452+P452</f>
        <v>187763.93485390802</v>
      </c>
      <c r="R452" s="51"/>
      <c r="S452" s="67">
        <f>+S450-Q457</f>
        <v>9769.2319598200884</v>
      </c>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357"/>
      <c r="BB452" s="360"/>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c r="CU452" s="51"/>
      <c r="CV452" s="51"/>
      <c r="CW452" s="51"/>
      <c r="CX452" s="51"/>
      <c r="CY452" s="51"/>
      <c r="CZ452" s="51"/>
      <c r="DA452" s="51"/>
      <c r="DB452" s="51"/>
      <c r="DC452" s="51"/>
      <c r="DD452" s="51"/>
      <c r="DE452" s="51"/>
      <c r="DF452" s="51"/>
      <c r="DG452" s="51"/>
      <c r="DH452" s="51"/>
      <c r="DI452" s="51"/>
      <c r="DJ452" s="51"/>
      <c r="DK452" s="51"/>
      <c r="DL452" s="51"/>
      <c r="DM452" s="51"/>
      <c r="DN452" s="51"/>
      <c r="DO452" s="51"/>
      <c r="DP452" s="51"/>
      <c r="DQ452" s="51"/>
      <c r="DR452" s="51"/>
      <c r="DS452" s="51"/>
      <c r="DT452" s="51"/>
      <c r="DU452" s="51"/>
      <c r="DV452" s="51"/>
      <c r="EA452" s="51"/>
      <c r="EB452" s="51"/>
      <c r="EC452" s="51"/>
    </row>
    <row r="453" spans="5:133" hidden="1" x14ac:dyDescent="0.2">
      <c r="E453" s="88" t="s">
        <v>234</v>
      </c>
      <c r="G453" s="43">
        <f t="shared" si="115"/>
        <v>14182.974769000555</v>
      </c>
      <c r="H453" s="43">
        <f t="shared" si="115"/>
        <v>5165.74998959</v>
      </c>
      <c r="I453" s="43">
        <f t="shared" si="115"/>
        <v>14398.569886579999</v>
      </c>
      <c r="J453" s="43">
        <f t="shared" si="115"/>
        <v>7894.0312600666512</v>
      </c>
      <c r="K453" s="43">
        <f t="shared" si="115"/>
        <v>4966.0240921620853</v>
      </c>
      <c r="L453" s="43">
        <f t="shared" si="115"/>
        <v>4473.1704190000009</v>
      </c>
      <c r="M453" s="43">
        <f t="shared" si="115"/>
        <v>3027.5779800400005</v>
      </c>
      <c r="N453" s="43">
        <f>SUMIF($G$399:$CX$399,N$447,$G406:$CX406)</f>
        <v>993.82795400000009</v>
      </c>
      <c r="O453" s="76">
        <f>SUM(CY384:DJ384)</f>
        <v>3410.0753597406042</v>
      </c>
      <c r="P453" s="43">
        <f>SUBTOTAL(9,DK383:DV383)</f>
        <v>0</v>
      </c>
      <c r="Q453" s="90">
        <f>+M453+L453+K453++J453+I453+H453+G453+N453+O453+P453</f>
        <v>58512.001710179895</v>
      </c>
      <c r="R453" s="51"/>
      <c r="S453" s="67"/>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361"/>
      <c r="BB453" s="359"/>
      <c r="BC453" s="51"/>
      <c r="BD453" s="51"/>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c r="CU453" s="51"/>
      <c r="CV453" s="51"/>
      <c r="CW453" s="51"/>
      <c r="CX453" s="51"/>
      <c r="CY453" s="51"/>
      <c r="CZ453" s="51"/>
      <c r="DA453" s="51"/>
      <c r="DB453" s="51"/>
      <c r="DC453" s="51"/>
      <c r="DD453" s="51"/>
      <c r="DE453" s="51"/>
      <c r="DF453" s="51"/>
      <c r="DG453" s="51"/>
      <c r="DH453" s="51"/>
      <c r="DI453" s="51"/>
      <c r="DJ453" s="51"/>
      <c r="DK453" s="51"/>
      <c r="DL453" s="51"/>
      <c r="DM453" s="51"/>
      <c r="DN453" s="51"/>
      <c r="DO453" s="51"/>
      <c r="DP453" s="51"/>
      <c r="DQ453" s="51"/>
      <c r="DR453" s="51"/>
      <c r="DS453" s="51"/>
      <c r="DT453" s="51"/>
      <c r="DU453" s="51"/>
      <c r="DV453" s="51"/>
      <c r="EA453" s="51"/>
      <c r="EB453" s="51"/>
      <c r="EC453" s="51"/>
    </row>
    <row r="454" spans="5:133" hidden="1" x14ac:dyDescent="0.2">
      <c r="E454" s="89" t="s">
        <v>219</v>
      </c>
      <c r="G454" s="77">
        <f t="shared" ref="G454:L454" si="116">SUMIF($G$399:$BZ$399,G$447,$G407:$BZ407)</f>
        <v>14182.974769000555</v>
      </c>
      <c r="H454" s="77">
        <f t="shared" si="116"/>
        <v>13617.424972590001</v>
      </c>
      <c r="I454" s="77">
        <f t="shared" si="116"/>
        <v>37967.403824319998</v>
      </c>
      <c r="J454" s="77">
        <f t="shared" si="116"/>
        <v>21335.45829699</v>
      </c>
      <c r="K454" s="77">
        <f t="shared" si="116"/>
        <v>32859.956364999998</v>
      </c>
      <c r="L454" s="77">
        <f t="shared" si="116"/>
        <v>21172.613655289999</v>
      </c>
      <c r="M454" s="77">
        <f>+M453+M452</f>
        <v>16829.745196040003</v>
      </c>
      <c r="N454" s="77">
        <f>+N453+N452</f>
        <v>18396.332281999999</v>
      </c>
      <c r="O454" s="77">
        <f>+O453+O452</f>
        <v>26666.920550519582</v>
      </c>
      <c r="P454" s="77">
        <f>+P453+P452</f>
        <v>43247.106652337789</v>
      </c>
      <c r="Q454" s="355">
        <f>+Q453+Q452</f>
        <v>246275.93656408793</v>
      </c>
      <c r="R454" s="67"/>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c r="CU454" s="51"/>
      <c r="CV454" s="51"/>
      <c r="CW454" s="51"/>
      <c r="CX454" s="51"/>
      <c r="CY454" s="51"/>
      <c r="CZ454" s="51"/>
      <c r="DA454" s="51"/>
      <c r="DB454" s="51"/>
      <c r="DC454" s="51"/>
      <c r="DD454" s="51"/>
      <c r="DE454" s="51"/>
      <c r="DF454" s="51"/>
      <c r="DG454" s="51"/>
      <c r="DH454" s="51"/>
      <c r="DI454" s="51"/>
      <c r="DJ454" s="51"/>
      <c r="DK454" s="51"/>
      <c r="DL454" s="51"/>
      <c r="DM454" s="51"/>
      <c r="DN454" s="51"/>
      <c r="DO454" s="51"/>
      <c r="DP454" s="51"/>
      <c r="DQ454" s="51"/>
      <c r="DR454" s="51"/>
      <c r="DS454" s="51"/>
      <c r="DT454" s="51"/>
      <c r="DU454" s="51"/>
      <c r="DV454" s="51"/>
      <c r="EA454" s="51"/>
      <c r="EB454" s="51"/>
      <c r="EC454" s="51"/>
    </row>
    <row r="455" spans="5:133" hidden="1" x14ac:dyDescent="0.2">
      <c r="E455" s="88"/>
      <c r="G455" s="51"/>
      <c r="H455" s="51"/>
      <c r="I455" s="51"/>
      <c r="J455" s="51"/>
      <c r="K455" s="51"/>
      <c r="L455" s="51"/>
      <c r="M455" s="51"/>
      <c r="Q455" s="9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c r="CU455" s="51"/>
      <c r="CV455" s="51"/>
      <c r="CW455" s="51"/>
      <c r="CX455" s="51"/>
      <c r="CY455" s="51"/>
      <c r="CZ455" s="51"/>
      <c r="DA455" s="51"/>
      <c r="DB455" s="51"/>
      <c r="DC455" s="51"/>
      <c r="DD455" s="51"/>
      <c r="DE455" s="51"/>
      <c r="DF455" s="51"/>
      <c r="DG455" s="51"/>
      <c r="DH455" s="51"/>
      <c r="DI455" s="51"/>
      <c r="DJ455" s="51"/>
      <c r="DK455" s="51"/>
      <c r="DL455" s="51"/>
      <c r="DM455" s="51"/>
      <c r="DN455" s="51"/>
      <c r="DO455" s="51"/>
      <c r="DP455" s="51"/>
      <c r="DQ455" s="51"/>
      <c r="DR455" s="51"/>
      <c r="DS455" s="51"/>
      <c r="DT455" s="51"/>
      <c r="DU455" s="51"/>
      <c r="DV455" s="51"/>
      <c r="EA455" s="51"/>
      <c r="EB455" s="51"/>
      <c r="EC455" s="51"/>
    </row>
    <row r="456" spans="5:133" hidden="1" x14ac:dyDescent="0.2">
      <c r="E456" s="88" t="s">
        <v>235</v>
      </c>
      <c r="G456" s="43">
        <f>SUMIF($G$399:$BZ$399,G$447,$G412:$BZ412)</f>
        <v>0</v>
      </c>
      <c r="H456" s="43">
        <f>SUMIF($G$399:$BZ$399,H$447,$G412:$BZ412)</f>
        <v>8609.4135339999993</v>
      </c>
      <c r="I456" s="43">
        <f>SUMIF($G$399:$BZ$399,I$447,$G412:$BZ412)</f>
        <v>10000</v>
      </c>
      <c r="J456" s="43">
        <f>SUMIF($G$399:$BZ$399,J$447,$G412:$BZ412)</f>
        <v>0</v>
      </c>
      <c r="K456" s="43">
        <f>SUMIF($G$399:$BZ$399,K$447,$G412:$BZ412)</f>
        <v>0</v>
      </c>
      <c r="L456" s="43">
        <f>SUM(BO412:BY412)</f>
        <v>0</v>
      </c>
      <c r="M456" s="43">
        <f ca="1">SUMIF($G$399:$DKL$399,M$447,$G412:$DJ412)</f>
        <v>0</v>
      </c>
      <c r="N456" s="43">
        <f ca="1">SUMIF($G$399:$DKL$399,N$447,$G412:$DV412)</f>
        <v>0</v>
      </c>
      <c r="O456" s="43">
        <f ca="1">SUMIF($G$399:$DKL$399,O$447,$G412:$DV412)</f>
        <v>20000</v>
      </c>
      <c r="P456" s="43">
        <f ca="1">SUMIF($G$399:$DKL$399,P$447,$G412:$DV412)</f>
        <v>0</v>
      </c>
      <c r="Q456" s="355">
        <f ca="1">+M456+L456+K456+J456+I456+H456+N456+O456+P456</f>
        <v>38609.413533999999</v>
      </c>
      <c r="R456" s="67"/>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c r="CU456" s="51"/>
      <c r="CV456" s="51"/>
      <c r="CW456" s="51"/>
      <c r="CX456" s="51"/>
      <c r="CY456" s="51"/>
      <c r="CZ456" s="51"/>
      <c r="DA456" s="51"/>
      <c r="DB456" s="51"/>
      <c r="DC456" s="51"/>
      <c r="DD456" s="51"/>
      <c r="DE456" s="51"/>
      <c r="DF456" s="51"/>
      <c r="DG456" s="51"/>
      <c r="DH456" s="51"/>
      <c r="DI456" s="51"/>
      <c r="DJ456" s="51"/>
      <c r="DK456" s="51"/>
      <c r="DL456" s="51"/>
      <c r="DM456" s="51"/>
      <c r="DN456" s="51"/>
      <c r="DO456" s="51"/>
      <c r="DP456" s="51"/>
      <c r="DQ456" s="51"/>
      <c r="DR456" s="51"/>
      <c r="DS456" s="51"/>
      <c r="DT456" s="51"/>
      <c r="DU456" s="51"/>
      <c r="DV456" s="51"/>
      <c r="DZ456" s="51"/>
      <c r="EA456" s="51"/>
      <c r="EB456" s="51"/>
      <c r="EC456" s="51"/>
    </row>
    <row r="457" spans="5:133" hidden="1" x14ac:dyDescent="0.2">
      <c r="E457" s="88" t="s">
        <v>222</v>
      </c>
      <c r="G457" s="43">
        <f t="shared" ref="G457:J458" si="117">SUMIF($G$399:$BZ$399,G$447,$G414:$BZ414)</f>
        <v>0</v>
      </c>
      <c r="H457" s="43">
        <f t="shared" si="117"/>
        <v>270.41337999999996</v>
      </c>
      <c r="I457" s="43">
        <f t="shared" si="117"/>
        <v>891.68930599999976</v>
      </c>
      <c r="J457" s="43">
        <f t="shared" si="117"/>
        <v>561.37807799999996</v>
      </c>
      <c r="K457" s="43">
        <f>SUMIF($G$399:$CX$399,K$447,$G414:$CX414)</f>
        <v>0</v>
      </c>
      <c r="L457" s="43">
        <f>SUMIF($G$399:$CX$399,L$447,$G414:$CX414)</f>
        <v>0</v>
      </c>
      <c r="M457" s="43">
        <f>SUMIF($G$399:$CX$399,M$447,$G414:$CX414)</f>
        <v>0</v>
      </c>
      <c r="N457" s="43">
        <f>SUBTOTAL(9,CM414:CX414)</f>
        <v>0</v>
      </c>
      <c r="O457" s="43">
        <f>SUBTOTAL(9,CY429:DJ429)</f>
        <v>550.00000000000159</v>
      </c>
      <c r="P457" s="43">
        <f>SUBTOTAL(9,DK414:DV414)</f>
        <v>1100.0000000000032</v>
      </c>
      <c r="Q457" s="355">
        <f>+M457+L457+K457+J457+I457+H457+N457+O457+P457</f>
        <v>3373.4807640000045</v>
      </c>
      <c r="R457" s="67"/>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51"/>
      <c r="BR457" s="51"/>
      <c r="BS457" s="51"/>
      <c r="BT457" s="51"/>
      <c r="BU457" s="51"/>
      <c r="BV457" s="51"/>
      <c r="BW457" s="51"/>
      <c r="BX457" s="51"/>
      <c r="BY457" s="51"/>
      <c r="BZ457" s="51"/>
      <c r="CA457" s="51"/>
      <c r="CB457" s="51"/>
      <c r="CC457" s="51"/>
      <c r="CD457" s="51"/>
      <c r="CE457" s="51"/>
      <c r="CF457" s="51"/>
      <c r="CG457" s="51"/>
      <c r="CH457" s="51"/>
      <c r="CI457" s="51"/>
      <c r="CJ457" s="51"/>
      <c r="CK457" s="51"/>
      <c r="CL457" s="51"/>
      <c r="CM457" s="51"/>
      <c r="CN457" s="51"/>
      <c r="CO457" s="51"/>
      <c r="CP457" s="51"/>
      <c r="CQ457" s="51"/>
      <c r="CR457" s="51"/>
      <c r="CS457" s="51"/>
      <c r="CT457" s="51"/>
      <c r="CU457" s="51"/>
      <c r="CV457" s="51"/>
      <c r="CW457" s="51"/>
      <c r="CX457" s="51"/>
      <c r="CY457" s="51"/>
      <c r="CZ457" s="51"/>
      <c r="DA457" s="51"/>
      <c r="DB457" s="51"/>
      <c r="DC457" s="51"/>
      <c r="DD457" s="51"/>
      <c r="DE457" s="51"/>
      <c r="DF457" s="51"/>
      <c r="DG457" s="51"/>
      <c r="DH457" s="51"/>
      <c r="DI457" s="51"/>
      <c r="DJ457" s="51"/>
      <c r="DK457" s="51"/>
      <c r="DL457" s="51"/>
      <c r="DM457" s="51"/>
      <c r="DN457" s="51"/>
      <c r="DO457" s="51"/>
      <c r="DP457" s="51"/>
      <c r="DQ457" s="51"/>
      <c r="DR457" s="51"/>
      <c r="DS457" s="51"/>
      <c r="DT457" s="51"/>
      <c r="DU457" s="51"/>
      <c r="DV457" s="51"/>
      <c r="DZ457" s="51"/>
      <c r="EA457" s="51"/>
      <c r="EB457" s="51"/>
      <c r="EC457" s="51"/>
    </row>
    <row r="458" spans="5:133" ht="12.75" hidden="1" thickBot="1" x14ac:dyDescent="0.25">
      <c r="E458" s="92" t="s">
        <v>223</v>
      </c>
      <c r="F458" s="93"/>
      <c r="G458" s="94">
        <f t="shared" si="117"/>
        <v>0</v>
      </c>
      <c r="H458" s="94">
        <f t="shared" si="117"/>
        <v>1.5752120000000001</v>
      </c>
      <c r="I458" s="94">
        <f t="shared" si="117"/>
        <v>0</v>
      </c>
      <c r="J458" s="94">
        <f t="shared" si="117"/>
        <v>18607.838322</v>
      </c>
      <c r="K458" s="94">
        <f>SUMIF($G$399:$DJ$399,K$447,$G415:$DJ415)</f>
        <v>0</v>
      </c>
      <c r="L458" s="94">
        <f>SUMIF($G$399:$DJ$399,L$447,$G415:$DJ415)</f>
        <v>0</v>
      </c>
      <c r="M458" s="94">
        <f>SUBTOTAL(9,CA415:CL415)</f>
        <v>0</v>
      </c>
      <c r="N458" s="94">
        <f>SUBTOTAL(9,CM415:CX415)</f>
        <v>0</v>
      </c>
      <c r="O458" s="43">
        <f>SUBTOTAL(9,CY415:DJ415)</f>
        <v>4000</v>
      </c>
      <c r="P458" s="43">
        <f>SUBTOTAL(9,DK415:DV415)</f>
        <v>16000</v>
      </c>
      <c r="Q458" s="355">
        <f>+M458+L458+K458+J458+I458+H458+N458+O458+P458</f>
        <v>38609.413533999999</v>
      </c>
      <c r="R458" s="51"/>
      <c r="S458" s="67">
        <f ca="1">+Q458-Q456</f>
        <v>0</v>
      </c>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51"/>
      <c r="BR458" s="51"/>
      <c r="BS458" s="51"/>
      <c r="BT458" s="51"/>
      <c r="BU458" s="51"/>
      <c r="BV458" s="51"/>
      <c r="BW458" s="51"/>
      <c r="BX458" s="51"/>
      <c r="BY458" s="51"/>
      <c r="BZ458" s="51"/>
      <c r="CA458" s="51"/>
      <c r="CB458" s="51"/>
      <c r="CC458" s="51"/>
      <c r="CD458" s="51"/>
      <c r="CE458" s="51"/>
      <c r="CF458" s="51"/>
      <c r="CG458" s="51"/>
      <c r="CH458" s="51"/>
      <c r="CI458" s="51"/>
      <c r="CJ458" s="51"/>
      <c r="CK458" s="51"/>
      <c r="CL458" s="51"/>
      <c r="CM458" s="51"/>
      <c r="CN458" s="51"/>
      <c r="CO458" s="51"/>
      <c r="CP458" s="51"/>
      <c r="CQ458" s="51"/>
      <c r="CR458" s="51"/>
      <c r="CS458" s="51"/>
      <c r="CT458" s="51"/>
      <c r="CU458" s="51"/>
      <c r="CV458" s="51"/>
      <c r="CW458" s="51"/>
      <c r="CX458" s="51"/>
      <c r="CY458" s="51"/>
      <c r="CZ458" s="51"/>
      <c r="DA458" s="51"/>
      <c r="DB458" s="51"/>
      <c r="DC458" s="51"/>
      <c r="DD458" s="51"/>
      <c r="DE458" s="51"/>
      <c r="DF458" s="51"/>
      <c r="DG458" s="51"/>
      <c r="DH458" s="51"/>
      <c r="DI458" s="51"/>
      <c r="DJ458" s="51"/>
      <c r="DK458" s="51"/>
      <c r="DL458" s="51"/>
      <c r="DM458" s="51"/>
      <c r="DN458" s="51"/>
      <c r="DO458" s="51"/>
      <c r="DP458" s="51"/>
      <c r="DQ458" s="51"/>
      <c r="DR458" s="51"/>
      <c r="DS458" s="51"/>
      <c r="DT458" s="51"/>
      <c r="DU458" s="51"/>
      <c r="DV458" s="51"/>
      <c r="DZ458" s="51"/>
      <c r="EA458" s="51"/>
      <c r="EB458" s="51"/>
      <c r="EC458" s="51"/>
    </row>
    <row r="459" spans="5:133" hidden="1" x14ac:dyDescent="0.2">
      <c r="G459" s="51"/>
      <c r="H459" s="51"/>
      <c r="I459" s="51"/>
      <c r="J459" s="51"/>
      <c r="K459" s="51"/>
      <c r="L459" s="51"/>
      <c r="M459" s="51"/>
      <c r="N459" s="51"/>
      <c r="P459" s="67"/>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51"/>
      <c r="BR459" s="51"/>
      <c r="BS459" s="51"/>
      <c r="BT459" s="51"/>
      <c r="BU459" s="51"/>
      <c r="BV459" s="51"/>
      <c r="BW459" s="51"/>
      <c r="BX459" s="51"/>
      <c r="BY459" s="51"/>
      <c r="BZ459" s="51"/>
      <c r="CA459" s="51"/>
      <c r="CB459" s="51"/>
      <c r="CC459" s="51"/>
      <c r="CD459" s="51"/>
      <c r="CE459" s="51"/>
      <c r="CF459" s="51"/>
      <c r="CG459" s="51"/>
      <c r="CH459" s="51"/>
      <c r="CI459" s="51"/>
      <c r="CJ459" s="51"/>
      <c r="CK459" s="51"/>
      <c r="CL459" s="51"/>
      <c r="CM459" s="51"/>
      <c r="CN459" s="51"/>
      <c r="CO459" s="51"/>
      <c r="CP459" s="51"/>
      <c r="CQ459" s="51"/>
      <c r="CR459" s="51"/>
      <c r="CS459" s="51"/>
      <c r="CT459" s="51"/>
      <c r="CU459" s="51"/>
      <c r="CV459" s="51"/>
      <c r="CW459" s="51"/>
      <c r="CX459" s="51"/>
      <c r="CY459" s="51"/>
      <c r="CZ459" s="51"/>
      <c r="DA459" s="51"/>
      <c r="DB459" s="51"/>
      <c r="DC459" s="51"/>
      <c r="DD459" s="51"/>
      <c r="DE459" s="51"/>
      <c r="DF459" s="51"/>
      <c r="DG459" s="51"/>
      <c r="DH459" s="51"/>
      <c r="DI459" s="51"/>
      <c r="DJ459" s="51"/>
      <c r="DK459" s="51"/>
      <c r="DL459" s="51"/>
      <c r="DM459" s="51"/>
      <c r="DN459" s="51"/>
      <c r="DO459" s="51"/>
      <c r="DP459" s="51"/>
      <c r="DQ459" s="51"/>
      <c r="DR459" s="51"/>
      <c r="DS459" s="51"/>
      <c r="DT459" s="51"/>
      <c r="DU459" s="51"/>
      <c r="DV459" s="51"/>
      <c r="DZ459" s="51"/>
      <c r="EA459" s="51"/>
      <c r="EB459" s="51"/>
      <c r="EC459" s="51"/>
    </row>
    <row r="460" spans="5:133" x14ac:dyDescent="0.2">
      <c r="G460" s="51"/>
      <c r="H460" s="51"/>
      <c r="I460" s="51"/>
      <c r="J460" s="51"/>
      <c r="K460" s="51"/>
      <c r="L460" s="51"/>
      <c r="M460" s="51"/>
      <c r="N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1"/>
      <c r="BR460" s="51"/>
      <c r="BS460" s="51"/>
      <c r="BT460" s="51"/>
      <c r="BU460" s="51"/>
      <c r="BV460" s="51"/>
      <c r="BW460" s="51"/>
      <c r="BX460" s="51"/>
      <c r="BY460" s="51"/>
      <c r="BZ460" s="51"/>
      <c r="CA460" s="51"/>
      <c r="CB460" s="51"/>
      <c r="CC460" s="51"/>
      <c r="CD460" s="51"/>
      <c r="CE460" s="51"/>
      <c r="CF460" s="51"/>
      <c r="CG460" s="51"/>
      <c r="CH460" s="51"/>
      <c r="CI460" s="51"/>
      <c r="CJ460" s="51"/>
      <c r="CK460" s="51"/>
      <c r="CL460" s="51"/>
      <c r="CM460" s="51"/>
      <c r="CN460" s="51"/>
      <c r="CO460" s="51"/>
      <c r="CP460" s="51"/>
      <c r="CQ460" s="51"/>
      <c r="CR460" s="51"/>
      <c r="CS460" s="51"/>
      <c r="CT460" s="51"/>
      <c r="CU460" s="51"/>
      <c r="CV460" s="51"/>
      <c r="CW460" s="51"/>
      <c r="CX460" s="51"/>
      <c r="CY460" s="51"/>
      <c r="CZ460" s="51"/>
      <c r="DA460" s="51"/>
      <c r="DB460" s="51"/>
      <c r="DC460" s="51"/>
      <c r="DD460" s="51"/>
      <c r="DE460" s="51"/>
      <c r="DF460" s="51"/>
      <c r="DG460" s="51"/>
      <c r="DH460" s="51"/>
      <c r="DI460" s="51"/>
      <c r="DJ460" s="51"/>
      <c r="DK460" s="51"/>
      <c r="DL460" s="51"/>
      <c r="DM460" s="51"/>
      <c r="DN460" s="51"/>
      <c r="DO460" s="51"/>
      <c r="DP460" s="51"/>
      <c r="DQ460" s="51"/>
      <c r="DR460" s="51"/>
      <c r="DS460" s="51"/>
      <c r="DT460" s="51"/>
      <c r="DU460" s="51"/>
      <c r="DV460" s="51"/>
      <c r="DZ460" s="51"/>
      <c r="EA460" s="51"/>
      <c r="EB460" s="51"/>
      <c r="EC460" s="51"/>
    </row>
    <row r="461" spans="5:133" ht="18" hidden="1" x14ac:dyDescent="0.25">
      <c r="E461" s="84" t="s">
        <v>236</v>
      </c>
      <c r="F461" s="95" t="s">
        <v>202</v>
      </c>
      <c r="G461" s="96">
        <f t="shared" ref="G461:L461" si="118">G447</f>
        <v>2010</v>
      </c>
      <c r="H461" s="96">
        <f t="shared" si="118"/>
        <v>2011</v>
      </c>
      <c r="I461" s="96">
        <f t="shared" si="118"/>
        <v>2012</v>
      </c>
      <c r="J461" s="96">
        <f t="shared" si="118"/>
        <v>2013</v>
      </c>
      <c r="K461" s="96">
        <f t="shared" si="118"/>
        <v>2014</v>
      </c>
      <c r="L461" s="97">
        <f t="shared" si="118"/>
        <v>2015</v>
      </c>
      <c r="M461" s="87">
        <v>2016</v>
      </c>
      <c r="N461" s="97">
        <f>N447</f>
        <v>2017</v>
      </c>
      <c r="O461" s="49"/>
      <c r="P461" s="49"/>
      <c r="Q461" s="49"/>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51"/>
      <c r="BL461" s="51"/>
      <c r="BM461" s="51"/>
      <c r="BN461" s="51"/>
      <c r="BO461" s="51"/>
      <c r="BP461" s="51"/>
      <c r="BQ461" s="51"/>
      <c r="BR461" s="51"/>
      <c r="BS461" s="51"/>
      <c r="BT461" s="51"/>
      <c r="BU461" s="51"/>
      <c r="BV461" s="51"/>
      <c r="BW461" s="51"/>
      <c r="BX461" s="51"/>
      <c r="BY461" s="51"/>
      <c r="BZ461" s="51"/>
      <c r="CA461" s="51"/>
      <c r="CB461" s="51"/>
      <c r="CC461" s="51"/>
      <c r="CD461" s="51"/>
      <c r="CE461" s="51"/>
      <c r="CF461" s="51"/>
      <c r="CG461" s="51"/>
      <c r="CH461" s="51"/>
      <c r="CI461" s="51"/>
      <c r="CJ461" s="51"/>
      <c r="CK461" s="51"/>
      <c r="CL461" s="51"/>
      <c r="CM461" s="51"/>
      <c r="CN461" s="51"/>
      <c r="CO461" s="51"/>
      <c r="CP461" s="51"/>
      <c r="CQ461" s="51"/>
      <c r="CR461" s="51"/>
      <c r="CS461" s="51"/>
      <c r="CT461" s="51"/>
      <c r="CU461" s="51"/>
      <c r="CV461" s="51"/>
      <c r="CW461" s="51"/>
      <c r="CX461" s="51"/>
      <c r="CY461" s="51"/>
      <c r="CZ461" s="51"/>
      <c r="DA461" s="51"/>
      <c r="DB461" s="51"/>
      <c r="DC461" s="51"/>
      <c r="DD461" s="51"/>
      <c r="DE461" s="51"/>
      <c r="DF461" s="51"/>
      <c r="DG461" s="51"/>
      <c r="DH461" s="51"/>
      <c r="DI461" s="51"/>
      <c r="DJ461" s="51"/>
      <c r="DK461" s="51"/>
      <c r="DL461" s="51"/>
      <c r="DM461" s="51"/>
      <c r="DN461" s="51"/>
      <c r="DO461" s="51"/>
      <c r="DP461" s="51"/>
      <c r="DQ461" s="51"/>
      <c r="DR461" s="51"/>
      <c r="DS461" s="51"/>
      <c r="DT461" s="51"/>
      <c r="DU461" s="51"/>
      <c r="DV461" s="51"/>
      <c r="DZ461" s="51"/>
      <c r="EA461" s="51"/>
      <c r="EB461" s="51"/>
      <c r="EC461" s="51"/>
    </row>
    <row r="462" spans="5:133" hidden="1" x14ac:dyDescent="0.2">
      <c r="E462" s="88" t="s">
        <v>214</v>
      </c>
      <c r="F462" s="75">
        <f>SUM(G462:L462)</f>
        <v>89449.28122138184</v>
      </c>
      <c r="G462" s="75">
        <f t="shared" ref="G462:L462" si="119">G448/J478</f>
        <v>0</v>
      </c>
      <c r="H462" s="75">
        <f t="shared" si="119"/>
        <v>6627.2334106796116</v>
      </c>
      <c r="I462" s="75">
        <f t="shared" si="119"/>
        <v>23377.776380431711</v>
      </c>
      <c r="J462" s="75">
        <f t="shared" si="119"/>
        <v>22668.145324411311</v>
      </c>
      <c r="K462" s="75">
        <f t="shared" si="119"/>
        <v>20568.569656065152</v>
      </c>
      <c r="L462" s="75">
        <f t="shared" si="119"/>
        <v>16207.556449794056</v>
      </c>
      <c r="M462" s="98">
        <f>+M448/P478</f>
        <v>1423.7232363622122</v>
      </c>
      <c r="N462" s="98">
        <f>+N448/Q478</f>
        <v>13682.18241566329</v>
      </c>
      <c r="O462" s="75"/>
      <c r="P462" s="75"/>
      <c r="Q462" s="75"/>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c r="CU462" s="51"/>
      <c r="CV462" s="51"/>
      <c r="CW462" s="51"/>
      <c r="CX462" s="51"/>
      <c r="CY462" s="51"/>
      <c r="CZ462" s="51"/>
      <c r="DA462" s="51"/>
      <c r="DB462" s="51"/>
      <c r="DC462" s="51"/>
      <c r="DD462" s="51"/>
      <c r="DE462" s="51"/>
      <c r="DF462" s="51"/>
      <c r="DG462" s="51"/>
      <c r="DH462" s="51"/>
      <c r="DI462" s="51"/>
      <c r="DJ462" s="51"/>
      <c r="DK462" s="51"/>
      <c r="DL462" s="51"/>
      <c r="DM462" s="51"/>
      <c r="DN462" s="51"/>
      <c r="DO462" s="51"/>
      <c r="DP462" s="51"/>
      <c r="DQ462" s="51"/>
      <c r="DR462" s="51"/>
      <c r="DS462" s="51"/>
      <c r="DT462" s="51"/>
      <c r="DU462" s="51"/>
      <c r="DV462" s="51"/>
      <c r="DZ462" s="51"/>
      <c r="EA462" s="51"/>
      <c r="EB462" s="51"/>
      <c r="EC462" s="51"/>
    </row>
    <row r="463" spans="5:133" hidden="1" x14ac:dyDescent="0.2">
      <c r="E463" s="88" t="s">
        <v>232</v>
      </c>
      <c r="F463" s="75">
        <f t="shared" ref="F463:F469" si="120">SUM(G463:Q463)</f>
        <v>66233.554104838942</v>
      </c>
      <c r="G463" s="75">
        <f t="shared" ref="G463:L463" si="121">G449/J478</f>
        <v>14769.907753</v>
      </c>
      <c r="H463" s="75">
        <f t="shared" si="121"/>
        <v>6119.1480621359233</v>
      </c>
      <c r="I463" s="75">
        <f t="shared" si="121"/>
        <v>9601.4732528984823</v>
      </c>
      <c r="J463" s="75">
        <f t="shared" si="121"/>
        <v>11652.498748543781</v>
      </c>
      <c r="K463" s="75">
        <f t="shared" si="121"/>
        <v>10425.507020242694</v>
      </c>
      <c r="L463" s="75">
        <f t="shared" si="121"/>
        <v>11152.566497967098</v>
      </c>
      <c r="M463" s="98">
        <f>+M449/P478</f>
        <v>2512.452770050963</v>
      </c>
      <c r="N463" s="98">
        <f>+N449/Q478</f>
        <v>0</v>
      </c>
      <c r="O463" s="75"/>
      <c r="P463" s="75"/>
      <c r="Q463" s="75"/>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c r="CU463" s="51"/>
      <c r="CV463" s="51"/>
      <c r="CW463" s="51"/>
      <c r="CX463" s="51"/>
      <c r="CY463" s="51"/>
      <c r="CZ463" s="51"/>
      <c r="DA463" s="51"/>
      <c r="DB463" s="51"/>
      <c r="DC463" s="51"/>
      <c r="DD463" s="51"/>
      <c r="DE463" s="51"/>
      <c r="DF463" s="51"/>
      <c r="DG463" s="51"/>
      <c r="DH463" s="51"/>
      <c r="DI463" s="51"/>
      <c r="DJ463" s="51"/>
      <c r="DK463" s="51"/>
      <c r="DL463" s="51"/>
      <c r="DM463" s="51"/>
      <c r="DN463" s="51"/>
      <c r="DO463" s="51"/>
      <c r="DP463" s="51"/>
      <c r="DQ463" s="51"/>
      <c r="DR463" s="51"/>
      <c r="DS463" s="51"/>
      <c r="DT463" s="51"/>
      <c r="DU463" s="51"/>
      <c r="DV463" s="51"/>
      <c r="DZ463" s="51"/>
      <c r="EA463" s="51"/>
      <c r="EB463" s="51"/>
      <c r="EC463" s="51"/>
    </row>
    <row r="464" spans="5:133" hidden="1" x14ac:dyDescent="0.2">
      <c r="E464" s="89" t="s">
        <v>216</v>
      </c>
      <c r="F464" s="99">
        <f t="shared" si="120"/>
        <v>170788.74097824629</v>
      </c>
      <c r="G464" s="99">
        <f t="shared" ref="G464:M464" si="122">SUM(G462:G463)</f>
        <v>14769.907753</v>
      </c>
      <c r="H464" s="99">
        <f t="shared" si="122"/>
        <v>12746.381472815534</v>
      </c>
      <c r="I464" s="99">
        <f t="shared" si="122"/>
        <v>32979.249633330197</v>
      </c>
      <c r="J464" s="99">
        <f t="shared" si="122"/>
        <v>34320.644072955096</v>
      </c>
      <c r="K464" s="99">
        <f t="shared" si="122"/>
        <v>30994.076676307846</v>
      </c>
      <c r="L464" s="99">
        <f t="shared" si="122"/>
        <v>27360.122947761156</v>
      </c>
      <c r="M464" s="100">
        <f t="shared" si="122"/>
        <v>3936.1760064131749</v>
      </c>
      <c r="N464" s="100">
        <f>SUM(N462:N463)</f>
        <v>13682.18241566329</v>
      </c>
      <c r="O464" s="99"/>
      <c r="P464" s="99"/>
      <c r="Q464" s="99"/>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75"/>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Z464" s="51"/>
      <c r="EA464" s="51"/>
      <c r="EB464" s="51"/>
      <c r="EC464" s="51"/>
    </row>
    <row r="465" spans="5:133" hidden="1" x14ac:dyDescent="0.2">
      <c r="E465" s="88"/>
      <c r="G465" s="51"/>
      <c r="H465" s="51"/>
      <c r="I465" s="51"/>
      <c r="J465" s="51"/>
      <c r="K465" s="51"/>
      <c r="L465" s="51"/>
      <c r="M465" s="91"/>
      <c r="N465" s="9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c r="DE465" s="51"/>
      <c r="DF465" s="51"/>
      <c r="DG465" s="51"/>
      <c r="DH465" s="51"/>
      <c r="DI465" s="51"/>
      <c r="DJ465" s="51"/>
      <c r="DK465" s="51"/>
      <c r="DL465" s="51"/>
      <c r="DM465" s="51"/>
      <c r="DN465" s="51"/>
      <c r="DO465" s="51"/>
      <c r="DP465" s="51"/>
      <c r="DQ465" s="51"/>
      <c r="DR465" s="51"/>
      <c r="DS465" s="51"/>
      <c r="DT465" s="51"/>
      <c r="DU465" s="51"/>
      <c r="DV465" s="51"/>
      <c r="DZ465" s="51"/>
      <c r="EA465" s="51"/>
      <c r="EB465" s="51"/>
      <c r="EC465" s="51"/>
    </row>
    <row r="466" spans="5:133" hidden="1" x14ac:dyDescent="0.2">
      <c r="E466" s="89" t="s">
        <v>219</v>
      </c>
      <c r="F466" s="99">
        <f t="shared" si="120"/>
        <v>159228.53836429276</v>
      </c>
      <c r="G466" s="99">
        <f t="shared" ref="G466:L466" si="123">G454/J478</f>
        <v>14182.974769000555</v>
      </c>
      <c r="H466" s="99">
        <f t="shared" si="123"/>
        <v>13220.800944262137</v>
      </c>
      <c r="I466" s="99">
        <f t="shared" si="123"/>
        <v>35787.919525233294</v>
      </c>
      <c r="J466" s="99">
        <f t="shared" si="123"/>
        <v>19524.966708967564</v>
      </c>
      <c r="K466" s="99">
        <f t="shared" si="123"/>
        <v>29195.645625377198</v>
      </c>
      <c r="L466" s="99">
        <f t="shared" si="123"/>
        <v>18263.682527425255</v>
      </c>
      <c r="M466" s="100">
        <f>+M454/P478</f>
        <v>14094.646645680863</v>
      </c>
      <c r="N466" s="100">
        <f>+N454/Q478</f>
        <v>14957.901618345904</v>
      </c>
      <c r="O466" s="99"/>
      <c r="P466" s="99"/>
      <c r="Q466" s="99"/>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c r="DE466" s="51"/>
      <c r="DF466" s="51"/>
      <c r="DG466" s="51"/>
      <c r="DH466" s="51"/>
      <c r="DI466" s="51"/>
      <c r="DJ466" s="51"/>
      <c r="DK466" s="51"/>
      <c r="DL466" s="51"/>
      <c r="DM466" s="51"/>
      <c r="DN466" s="51"/>
      <c r="DO466" s="51"/>
      <c r="DP466" s="51"/>
      <c r="DQ466" s="51"/>
      <c r="DR466" s="51"/>
      <c r="DS466" s="51"/>
      <c r="DT466" s="51"/>
      <c r="DU466" s="51"/>
      <c r="DV466" s="51"/>
      <c r="DZ466" s="51"/>
      <c r="EA466" s="51"/>
      <c r="EB466" s="51"/>
      <c r="EC466" s="51"/>
    </row>
    <row r="467" spans="5:133" hidden="1" x14ac:dyDescent="0.2">
      <c r="E467" s="88"/>
      <c r="F467" s="75"/>
      <c r="G467" s="51"/>
      <c r="H467" s="51"/>
      <c r="I467" s="51"/>
      <c r="J467" s="51"/>
      <c r="K467" s="51"/>
      <c r="L467" s="51"/>
      <c r="M467" s="91"/>
      <c r="N467" s="9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c r="DE467" s="51"/>
      <c r="DF467" s="51"/>
      <c r="DG467" s="51"/>
      <c r="DH467" s="51"/>
      <c r="DI467" s="51"/>
      <c r="DJ467" s="51"/>
      <c r="DK467" s="51"/>
      <c r="DL467" s="51"/>
      <c r="DM467" s="51"/>
      <c r="DN467" s="51"/>
      <c r="DO467" s="51"/>
      <c r="DP467" s="51"/>
      <c r="DQ467" s="51"/>
      <c r="DR467" s="51"/>
      <c r="DS467" s="51"/>
      <c r="DT467" s="51"/>
      <c r="DU467" s="51"/>
      <c r="DV467" s="51"/>
      <c r="DZ467" s="51"/>
      <c r="EA467" s="51"/>
      <c r="EB467" s="51"/>
      <c r="EC467" s="51"/>
    </row>
    <row r="468" spans="5:133" hidden="1" x14ac:dyDescent="0.2">
      <c r="E468" s="88" t="s">
        <v>235</v>
      </c>
      <c r="F468" s="75">
        <f t="shared" ca="1" si="120"/>
        <v>17784.613007842396</v>
      </c>
      <c r="G468" s="75">
        <f t="shared" ref="G468:L468" si="124">G456/J478</f>
        <v>0</v>
      </c>
      <c r="H468" s="75">
        <f t="shared" si="124"/>
        <v>8358.6539165048544</v>
      </c>
      <c r="I468" s="75">
        <f t="shared" si="124"/>
        <v>9425.9590913375432</v>
      </c>
      <c r="J468" s="75">
        <f t="shared" si="124"/>
        <v>0</v>
      </c>
      <c r="K468" s="75">
        <f t="shared" si="124"/>
        <v>0</v>
      </c>
      <c r="L468" s="75">
        <f t="shared" si="124"/>
        <v>0</v>
      </c>
      <c r="M468" s="98">
        <f ca="1">+M456/P478</f>
        <v>0</v>
      </c>
      <c r="N468" s="98">
        <f ca="1">+N456/Q478</f>
        <v>0</v>
      </c>
      <c r="O468" s="75"/>
      <c r="P468" s="75"/>
      <c r="Q468" s="75"/>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c r="DE468" s="51"/>
      <c r="DF468" s="51"/>
      <c r="DG468" s="51"/>
      <c r="DH468" s="51"/>
      <c r="DI468" s="51"/>
      <c r="DJ468" s="51"/>
      <c r="DK468" s="51"/>
      <c r="DL468" s="51"/>
      <c r="DM468" s="51"/>
      <c r="DN468" s="51"/>
      <c r="DO468" s="51"/>
      <c r="DP468" s="51"/>
      <c r="DQ468" s="51"/>
      <c r="DR468" s="51"/>
      <c r="DS468" s="51"/>
      <c r="DT468" s="51"/>
      <c r="DU468" s="51"/>
      <c r="DV468" s="51"/>
      <c r="DZ468" s="51"/>
      <c r="EA468" s="51"/>
      <c r="EB468" s="51"/>
      <c r="EC468" s="51"/>
    </row>
    <row r="469" spans="5:133" hidden="1" x14ac:dyDescent="0.2">
      <c r="E469" s="88" t="s">
        <v>222</v>
      </c>
      <c r="F469" s="75">
        <f t="shared" si="120"/>
        <v>1616.7804200152461</v>
      </c>
      <c r="G469" s="75">
        <f>G457/$J$478</f>
        <v>0</v>
      </c>
      <c r="H469" s="75">
        <f>H457/K478</f>
        <v>262.53726213592228</v>
      </c>
      <c r="I469" s="75">
        <f>I457/L478</f>
        <v>840.50269205391635</v>
      </c>
      <c r="J469" s="75">
        <f>J457/M478</f>
        <v>513.74046582540745</v>
      </c>
      <c r="K469" s="75">
        <f>K457/N478</f>
        <v>0</v>
      </c>
      <c r="L469" s="75">
        <f>L457/O478</f>
        <v>0</v>
      </c>
      <c r="M469" s="98">
        <f>+M457/P478</f>
        <v>0</v>
      </c>
      <c r="N469" s="98">
        <f>+N457/Q478</f>
        <v>0</v>
      </c>
      <c r="O469" s="75"/>
      <c r="P469" s="75"/>
      <c r="Q469" s="75"/>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c r="DE469" s="51"/>
      <c r="DF469" s="51"/>
      <c r="DG469" s="51"/>
      <c r="DH469" s="51"/>
      <c r="DI469" s="51"/>
      <c r="DJ469" s="51"/>
      <c r="DK469" s="51"/>
      <c r="DL469" s="51"/>
      <c r="DM469" s="51"/>
      <c r="DN469" s="51"/>
      <c r="DO469" s="51"/>
      <c r="DP469" s="51"/>
      <c r="DQ469" s="51"/>
      <c r="DR469" s="51"/>
      <c r="DS469" s="51"/>
      <c r="DT469" s="51"/>
      <c r="DU469" s="51"/>
      <c r="DV469" s="51"/>
      <c r="DZ469" s="51"/>
      <c r="EA469" s="51"/>
      <c r="EB469" s="51"/>
      <c r="EC469" s="51"/>
    </row>
    <row r="470" spans="5:133" hidden="1" x14ac:dyDescent="0.2">
      <c r="E470" s="88" t="s">
        <v>223</v>
      </c>
      <c r="G470" s="75">
        <f t="shared" ref="G470:L470" si="125">G458/J478</f>
        <v>0</v>
      </c>
      <c r="H470" s="75">
        <f t="shared" si="125"/>
        <v>1.5293320388349514</v>
      </c>
      <c r="I470" s="75">
        <f t="shared" si="125"/>
        <v>0</v>
      </c>
      <c r="J470" s="75">
        <f t="shared" si="125"/>
        <v>17028.808038970394</v>
      </c>
      <c r="K470" s="75">
        <f t="shared" si="125"/>
        <v>0</v>
      </c>
      <c r="L470" s="75">
        <f t="shared" si="125"/>
        <v>0</v>
      </c>
      <c r="M470" s="98">
        <f>+M458/P478</f>
        <v>0</v>
      </c>
      <c r="N470" s="98">
        <f>+N458/Q478</f>
        <v>0</v>
      </c>
      <c r="O470" s="75"/>
      <c r="P470" s="75"/>
      <c r="Q470" s="75"/>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c r="DE470" s="51"/>
      <c r="DF470" s="51"/>
      <c r="DG470" s="51"/>
      <c r="DH470" s="51"/>
      <c r="DI470" s="51"/>
      <c r="DJ470" s="51"/>
      <c r="DK470" s="51"/>
      <c r="DL470" s="51"/>
      <c r="DM470" s="51"/>
      <c r="DN470" s="51"/>
      <c r="DO470" s="51"/>
      <c r="DP470" s="51"/>
      <c r="DQ470" s="51"/>
      <c r="DR470" s="51"/>
      <c r="DS470" s="51"/>
      <c r="DT470" s="51"/>
      <c r="DU470" s="51"/>
      <c r="DV470" s="51"/>
      <c r="DZ470" s="51"/>
      <c r="EA470" s="51"/>
      <c r="EB470" s="51"/>
      <c r="EC470" s="51"/>
    </row>
    <row r="471" spans="5:133" ht="12.75" hidden="1" thickBot="1" x14ac:dyDescent="0.25">
      <c r="E471" s="101" t="s">
        <v>237</v>
      </c>
      <c r="F471" s="102">
        <f>+F466+F469</f>
        <v>160845.31878430801</v>
      </c>
      <c r="G471" s="93"/>
      <c r="H471" s="93"/>
      <c r="I471" s="93"/>
      <c r="J471" s="93"/>
      <c r="K471" s="93"/>
      <c r="L471" s="93"/>
      <c r="M471" s="103"/>
      <c r="N471" s="103"/>
      <c r="Q471" s="75"/>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75"/>
      <c r="CL471" s="51"/>
      <c r="CM471" s="51"/>
      <c r="CN471" s="51"/>
      <c r="CO471" s="51"/>
      <c r="CP471" s="51"/>
      <c r="CQ471" s="51"/>
      <c r="CR471" s="51"/>
      <c r="CS471" s="51"/>
      <c r="CT471" s="51"/>
      <c r="CU471" s="51"/>
      <c r="CV471" s="51"/>
      <c r="CW471" s="51"/>
      <c r="CX471" s="51"/>
      <c r="CY471" s="51"/>
      <c r="CZ471" s="51"/>
      <c r="DA471" s="51"/>
      <c r="DB471" s="51"/>
      <c r="DC471" s="51"/>
      <c r="DD471" s="51"/>
      <c r="DE471" s="51"/>
      <c r="DF471" s="51"/>
      <c r="DG471" s="51"/>
      <c r="DH471" s="51"/>
      <c r="DI471" s="51"/>
      <c r="DJ471" s="51"/>
      <c r="DK471" s="51"/>
      <c r="DL471" s="51"/>
      <c r="DM471" s="51"/>
      <c r="DN471" s="51"/>
      <c r="DO471" s="51"/>
      <c r="DP471" s="51"/>
      <c r="DQ471" s="51"/>
      <c r="DR471" s="51"/>
      <c r="DS471" s="51"/>
      <c r="DT471" s="51"/>
      <c r="DU471" s="51"/>
      <c r="DV471" s="51"/>
      <c r="DZ471" s="51"/>
      <c r="EA471" s="51"/>
      <c r="EB471" s="51"/>
      <c r="EC471" s="51"/>
    </row>
    <row r="472" spans="5:133" hidden="1" x14ac:dyDescent="0.2">
      <c r="AQ472" s="71"/>
    </row>
    <row r="473" spans="5:133" hidden="1" x14ac:dyDescent="0.2">
      <c r="E473" s="105"/>
      <c r="F473" s="105"/>
      <c r="G473" s="106">
        <v>2007</v>
      </c>
      <c r="H473" s="107">
        <v>2008</v>
      </c>
      <c r="I473" s="107">
        <v>2009</v>
      </c>
      <c r="J473" s="107">
        <v>2010</v>
      </c>
      <c r="K473" s="107">
        <v>2011</v>
      </c>
      <c r="L473" s="107">
        <v>2012</v>
      </c>
      <c r="M473" s="107">
        <v>2013</v>
      </c>
      <c r="N473" s="107">
        <v>2014</v>
      </c>
      <c r="O473" s="107">
        <v>2015</v>
      </c>
      <c r="P473" s="107">
        <v>2016</v>
      </c>
      <c r="Q473" s="107">
        <v>2017</v>
      </c>
      <c r="R473" s="51"/>
      <c r="S473" s="51"/>
      <c r="T473" s="51"/>
      <c r="U473" s="51"/>
      <c r="V473" s="51"/>
      <c r="W473" s="51"/>
      <c r="X473" s="108"/>
      <c r="Y473" s="108"/>
      <c r="Z473" s="108"/>
      <c r="AQ473" s="71"/>
      <c r="DZ473" s="51"/>
      <c r="EA473" s="51"/>
      <c r="EB473" s="51"/>
      <c r="EC473" s="51"/>
    </row>
    <row r="474" spans="5:133" hidden="1" x14ac:dyDescent="0.2">
      <c r="E474" s="51" t="s">
        <v>238</v>
      </c>
      <c r="F474" s="109"/>
      <c r="G474" s="109">
        <v>5.6899999999999999E-2</v>
      </c>
      <c r="H474" s="110">
        <v>4.4999999999999998E-2</v>
      </c>
      <c r="I474" s="110">
        <v>3.2500000000000001E-2</v>
      </c>
      <c r="J474" s="110">
        <v>0.03</v>
      </c>
      <c r="K474" s="110">
        <v>0.03</v>
      </c>
      <c r="L474" s="110">
        <v>0.03</v>
      </c>
      <c r="M474" s="110">
        <v>0.03</v>
      </c>
      <c r="N474" s="110">
        <v>0.03</v>
      </c>
      <c r="O474" s="110">
        <v>0.03</v>
      </c>
      <c r="P474" s="110">
        <v>0.03</v>
      </c>
      <c r="Q474" s="110">
        <v>0.03</v>
      </c>
      <c r="R474" s="51"/>
      <c r="S474" s="51"/>
      <c r="T474" s="51"/>
      <c r="U474" s="51"/>
      <c r="V474" s="51"/>
      <c r="W474" s="51"/>
      <c r="X474" s="111"/>
      <c r="Y474" s="111"/>
      <c r="Z474" s="111"/>
      <c r="AQ474" s="71"/>
      <c r="DZ474" s="51"/>
      <c r="EA474" s="51"/>
      <c r="EB474" s="51"/>
      <c r="EC474" s="51"/>
    </row>
    <row r="475" spans="5:133" hidden="1" x14ac:dyDescent="0.2">
      <c r="E475" s="112" t="s">
        <v>239</v>
      </c>
      <c r="F475" s="113"/>
      <c r="G475" s="114">
        <v>1</v>
      </c>
      <c r="H475" s="113">
        <f t="shared" ref="H475:O475" si="126">G475*(1+H474)</f>
        <v>1.0449999999999999</v>
      </c>
      <c r="I475" s="113">
        <f t="shared" si="126"/>
        <v>1.0789624999999998</v>
      </c>
      <c r="J475" s="113">
        <f t="shared" si="126"/>
        <v>1.1113313749999998</v>
      </c>
      <c r="K475" s="113">
        <f t="shared" si="126"/>
        <v>1.1446713162499997</v>
      </c>
      <c r="L475" s="113">
        <f t="shared" si="126"/>
        <v>1.1790114557374998</v>
      </c>
      <c r="M475" s="113">
        <f t="shared" si="126"/>
        <v>1.2143817994096249</v>
      </c>
      <c r="N475" s="113">
        <f t="shared" si="126"/>
        <v>1.2508132533919136</v>
      </c>
      <c r="O475" s="113">
        <f t="shared" si="126"/>
        <v>1.288337650993671</v>
      </c>
      <c r="P475" s="284">
        <f>O475*(1+$P$474)</f>
        <v>1.3269877805234811</v>
      </c>
      <c r="Q475" s="284">
        <f>P475*(1+$P$474)</f>
        <v>1.3667974139391856</v>
      </c>
      <c r="R475" s="51"/>
      <c r="S475" s="51"/>
      <c r="T475" s="51"/>
      <c r="U475" s="51"/>
      <c r="V475" s="51"/>
      <c r="W475" s="51"/>
      <c r="X475" s="115"/>
      <c r="Y475" s="115"/>
      <c r="Z475" s="115"/>
      <c r="AQ475" s="71"/>
      <c r="DZ475" s="51"/>
      <c r="EA475" s="51"/>
      <c r="EB475" s="51"/>
      <c r="EC475" s="51"/>
    </row>
    <row r="476" spans="5:133" hidden="1" x14ac:dyDescent="0.2">
      <c r="E476" s="112" t="s">
        <v>240</v>
      </c>
      <c r="F476" s="113"/>
      <c r="G476" s="113">
        <f>H476/(1+H474)</f>
        <v>0.95693779904306231</v>
      </c>
      <c r="H476" s="114">
        <v>1</v>
      </c>
      <c r="I476" s="113">
        <f t="shared" ref="I476:O476" si="127">H476*(1+I474)</f>
        <v>1.0325</v>
      </c>
      <c r="J476" s="113">
        <f t="shared" si="127"/>
        <v>1.0634749999999999</v>
      </c>
      <c r="K476" s="113">
        <f t="shared" si="127"/>
        <v>1.0953792499999999</v>
      </c>
      <c r="L476" s="113">
        <f t="shared" si="127"/>
        <v>1.1282406274999999</v>
      </c>
      <c r="M476" s="113">
        <f t="shared" si="127"/>
        <v>1.162087846325</v>
      </c>
      <c r="N476" s="113">
        <f t="shared" si="127"/>
        <v>1.19695048171475</v>
      </c>
      <c r="O476" s="113">
        <f t="shared" si="127"/>
        <v>1.2328589961661927</v>
      </c>
      <c r="P476" s="284">
        <f t="shared" ref="P476:Q479" si="128">O476*(1+$P$474)</f>
        <v>1.2698447660511785</v>
      </c>
      <c r="Q476" s="284">
        <f t="shared" si="128"/>
        <v>1.3079401090327138</v>
      </c>
      <c r="R476" s="51"/>
      <c r="S476" s="51"/>
      <c r="T476" s="51"/>
      <c r="U476" s="51"/>
      <c r="V476" s="51"/>
      <c r="W476" s="51"/>
      <c r="X476" s="115"/>
      <c r="Y476" s="115"/>
      <c r="Z476" s="115"/>
      <c r="AQ476" s="71"/>
      <c r="DZ476" s="51"/>
      <c r="EA476" s="51"/>
      <c r="EB476" s="51"/>
      <c r="EC476" s="51"/>
    </row>
    <row r="477" spans="5:133" hidden="1" x14ac:dyDescent="0.2">
      <c r="E477" s="112" t="s">
        <v>241</v>
      </c>
      <c r="F477" s="113"/>
      <c r="G477" s="113">
        <f>H477/(1+H474)</f>
        <v>0.92681627025962443</v>
      </c>
      <c r="H477" s="113">
        <f>I477/(1+I474)</f>
        <v>0.96852300242130751</v>
      </c>
      <c r="I477" s="114">
        <v>1</v>
      </c>
      <c r="J477" s="113">
        <f t="shared" ref="J477:O477" si="129">I477*(1+J474)</f>
        <v>1.03</v>
      </c>
      <c r="K477" s="113">
        <f t="shared" si="129"/>
        <v>1.0609</v>
      </c>
      <c r="L477" s="113">
        <f t="shared" si="129"/>
        <v>1.092727</v>
      </c>
      <c r="M477" s="113">
        <f t="shared" si="129"/>
        <v>1.1255088100000001</v>
      </c>
      <c r="N477" s="113">
        <f t="shared" si="129"/>
        <v>1.1592740743000001</v>
      </c>
      <c r="O477" s="113">
        <f t="shared" si="129"/>
        <v>1.1940522965290001</v>
      </c>
      <c r="P477" s="284">
        <f t="shared" si="128"/>
        <v>1.2298738654248702</v>
      </c>
      <c r="Q477" s="284">
        <f t="shared" si="128"/>
        <v>1.2667700813876164</v>
      </c>
      <c r="R477" s="51"/>
      <c r="S477" s="51"/>
      <c r="T477" s="51"/>
      <c r="U477" s="51"/>
      <c r="V477" s="51"/>
      <c r="W477" s="51"/>
      <c r="X477" s="115"/>
      <c r="Y477" s="115"/>
      <c r="Z477" s="116"/>
      <c r="AQ477" s="71"/>
      <c r="DZ477" s="51"/>
      <c r="EA477" s="51"/>
      <c r="EB477" s="51"/>
      <c r="EC477" s="51"/>
    </row>
    <row r="478" spans="5:133" hidden="1" x14ac:dyDescent="0.2">
      <c r="E478" s="112" t="s">
        <v>242</v>
      </c>
      <c r="F478" s="113"/>
      <c r="G478" s="113">
        <f>H478/(1+H474)</f>
        <v>0.89982162161128587</v>
      </c>
      <c r="H478" s="113">
        <f>I478/(1+I474)</f>
        <v>0.94031359458379371</v>
      </c>
      <c r="I478" s="113">
        <f>J478/(1+J474)</f>
        <v>0.970873786407767</v>
      </c>
      <c r="J478" s="114">
        <v>1</v>
      </c>
      <c r="K478" s="113">
        <f>J478*(1+K474)</f>
        <v>1.03</v>
      </c>
      <c r="L478" s="113">
        <f>K478*(1+L474)</f>
        <v>1.0609</v>
      </c>
      <c r="M478" s="113">
        <f>L478*(1+M474)</f>
        <v>1.092727</v>
      </c>
      <c r="N478" s="113">
        <f>M478*(1+N474)</f>
        <v>1.1255088100000001</v>
      </c>
      <c r="O478" s="113">
        <f>N478*(1+O474)</f>
        <v>1.1592740743000001</v>
      </c>
      <c r="P478" s="284">
        <f t="shared" si="128"/>
        <v>1.1940522965290001</v>
      </c>
      <c r="Q478" s="284">
        <f t="shared" si="128"/>
        <v>1.2298738654248702</v>
      </c>
      <c r="R478" s="51"/>
      <c r="S478" s="51"/>
      <c r="T478" s="51"/>
      <c r="U478" s="51"/>
      <c r="V478" s="51"/>
      <c r="W478" s="51"/>
      <c r="X478" s="115"/>
      <c r="Y478" s="115"/>
      <c r="Z478" s="116"/>
      <c r="AQ478" s="71"/>
      <c r="DZ478" s="51"/>
      <c r="EA478" s="51"/>
      <c r="EB478" s="51"/>
      <c r="EC478" s="51"/>
    </row>
    <row r="479" spans="5:133" hidden="1" x14ac:dyDescent="0.2">
      <c r="E479" s="112" t="s">
        <v>243</v>
      </c>
      <c r="F479" s="113"/>
      <c r="G479" s="113">
        <f>H479/(1+H474)</f>
        <v>0.87361322486532611</v>
      </c>
      <c r="H479" s="113">
        <f>I479/(1+I474)</f>
        <v>0.9129258199842657</v>
      </c>
      <c r="I479" s="113">
        <f>J479/(1+J474)</f>
        <v>0.94259590913375435</v>
      </c>
      <c r="J479" s="113">
        <f>K479/(1+K474)</f>
        <v>0.970873786407767</v>
      </c>
      <c r="K479" s="114">
        <v>1</v>
      </c>
      <c r="L479" s="113">
        <f>K479*(1+L474)</f>
        <v>1.03</v>
      </c>
      <c r="M479" s="113">
        <f>L479*(1+M474)</f>
        <v>1.0609</v>
      </c>
      <c r="N479" s="113">
        <f>M479*(1+N474)</f>
        <v>1.092727</v>
      </c>
      <c r="O479" s="113">
        <f>N479*(1+O474)</f>
        <v>1.1255088100000001</v>
      </c>
      <c r="P479" s="284">
        <f t="shared" si="128"/>
        <v>1.1592740743000001</v>
      </c>
      <c r="Q479" s="284">
        <f t="shared" si="128"/>
        <v>1.1940522965290001</v>
      </c>
      <c r="R479" s="51"/>
      <c r="S479" s="51"/>
      <c r="T479" s="51"/>
      <c r="U479" s="51"/>
      <c r="V479" s="51"/>
      <c r="W479" s="51"/>
      <c r="X479" s="115"/>
      <c r="Y479" s="115"/>
      <c r="Z479" s="115"/>
      <c r="AQ479" s="71"/>
      <c r="DZ479" s="51"/>
      <c r="EA479" s="51"/>
      <c r="EB479" s="51"/>
      <c r="EC479" s="51"/>
    </row>
    <row r="480" spans="5:133" hidden="1" x14ac:dyDescent="0.2">
      <c r="E480" s="117" t="s">
        <v>244</v>
      </c>
      <c r="F480" s="118"/>
      <c r="G480" s="118">
        <v>2078.35</v>
      </c>
      <c r="H480" s="119">
        <v>1995.58</v>
      </c>
      <c r="I480" s="119">
        <v>2140.6999999999998</v>
      </c>
      <c r="J480" s="119">
        <v>2253</v>
      </c>
      <c r="K480" s="119">
        <v>2251</v>
      </c>
      <c r="L480" s="119">
        <v>2273.65</v>
      </c>
      <c r="M480" s="119">
        <v>2401.12</v>
      </c>
      <c r="N480" s="119">
        <v>2402.7399999999998</v>
      </c>
      <c r="O480" s="119">
        <v>2397.08</v>
      </c>
      <c r="P480" s="119"/>
      <c r="Q480" s="284"/>
      <c r="R480" s="51"/>
      <c r="S480" s="51"/>
      <c r="T480" s="51"/>
      <c r="U480" s="51"/>
      <c r="V480" s="51"/>
      <c r="W480" s="51"/>
      <c r="X480" s="120"/>
      <c r="Y480" s="121"/>
      <c r="Z480" s="116"/>
      <c r="AQ480" s="71"/>
      <c r="DZ480" s="51"/>
      <c r="EA480" s="51"/>
      <c r="EB480" s="51"/>
      <c r="EC480" s="51"/>
    </row>
    <row r="481" spans="5:133" hidden="1" x14ac:dyDescent="0.2">
      <c r="E481" s="122"/>
      <c r="F481" s="122"/>
      <c r="G481" s="122"/>
      <c r="H481" s="122"/>
      <c r="I481" s="122"/>
      <c r="J481" s="122"/>
      <c r="K481" s="122"/>
      <c r="L481" s="122"/>
      <c r="M481" s="122"/>
      <c r="N481" s="122"/>
      <c r="O481" s="122"/>
      <c r="Q481" s="51"/>
      <c r="R481" s="51"/>
      <c r="S481" s="51"/>
      <c r="T481" s="51"/>
      <c r="U481" s="51"/>
      <c r="V481" s="51"/>
      <c r="W481" s="51"/>
      <c r="X481" s="116"/>
      <c r="Y481" s="116"/>
      <c r="Z481" s="116"/>
      <c r="AQ481" s="71"/>
      <c r="DZ481" s="51"/>
      <c r="EA481" s="51"/>
      <c r="EB481" s="51"/>
      <c r="EC481" s="51"/>
    </row>
    <row r="482" spans="5:133" hidden="1" x14ac:dyDescent="0.2">
      <c r="AQ482" s="71"/>
    </row>
    <row r="483" spans="5:133" hidden="1" x14ac:dyDescent="0.2">
      <c r="N483" s="286"/>
      <c r="AQ483" s="71"/>
      <c r="DZ483" s="51"/>
      <c r="EA483" s="51"/>
      <c r="EB483" s="51"/>
      <c r="EC483" s="51"/>
    </row>
    <row r="484" spans="5:133" ht="12.75" hidden="1" thickBot="1" x14ac:dyDescent="0.25">
      <c r="O484" s="285"/>
      <c r="Q484" s="123"/>
      <c r="AQ484" s="71"/>
      <c r="DZ484" s="51"/>
      <c r="EA484" s="51"/>
      <c r="EB484" s="51"/>
      <c r="EC484" s="51"/>
    </row>
    <row r="485" spans="5:133" hidden="1" x14ac:dyDescent="0.2">
      <c r="E485" s="124" t="s">
        <v>245</v>
      </c>
      <c r="F485" s="125"/>
      <c r="G485" s="126">
        <f t="shared" ref="G485:L485" si="130">G461</f>
        <v>2010</v>
      </c>
      <c r="H485" s="126">
        <f t="shared" si="130"/>
        <v>2011</v>
      </c>
      <c r="I485" s="126">
        <f t="shared" si="130"/>
        <v>2012</v>
      </c>
      <c r="J485" s="126">
        <f t="shared" si="130"/>
        <v>2013</v>
      </c>
      <c r="K485" s="126">
        <f t="shared" si="130"/>
        <v>2014</v>
      </c>
      <c r="L485" s="127">
        <f t="shared" si="130"/>
        <v>2015</v>
      </c>
      <c r="M485" s="51"/>
      <c r="N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51"/>
      <c r="BR485" s="51"/>
      <c r="BS485" s="51"/>
      <c r="BT485" s="51"/>
      <c r="BU485" s="51"/>
      <c r="BV485" s="51"/>
      <c r="BW485" s="51"/>
      <c r="BX485" s="51"/>
      <c r="BY485" s="51"/>
      <c r="BZ485" s="51"/>
      <c r="CA485" s="51"/>
      <c r="CB485" s="51"/>
      <c r="CC485" s="51"/>
      <c r="CD485" s="51"/>
      <c r="CE485" s="51"/>
      <c r="CF485" s="51"/>
      <c r="CG485" s="51"/>
      <c r="CH485" s="51"/>
      <c r="CI485" s="51"/>
      <c r="CJ485" s="51"/>
      <c r="CK485" s="51"/>
      <c r="CL485" s="51"/>
      <c r="CM485" s="51"/>
      <c r="CN485" s="51"/>
      <c r="CO485" s="51"/>
      <c r="CP485" s="51"/>
      <c r="CQ485" s="51"/>
      <c r="CR485" s="51"/>
      <c r="CS485" s="51"/>
      <c r="CT485" s="51"/>
      <c r="CU485" s="51"/>
      <c r="CV485" s="51"/>
      <c r="CW485" s="51"/>
      <c r="CX485" s="51"/>
      <c r="CY485" s="51"/>
      <c r="CZ485" s="51"/>
      <c r="DA485" s="51"/>
      <c r="DB485" s="51"/>
      <c r="DC485" s="51"/>
      <c r="DD485" s="51"/>
      <c r="DE485" s="51"/>
      <c r="DF485" s="51"/>
      <c r="DG485" s="51"/>
      <c r="DH485" s="51"/>
      <c r="DI485" s="51"/>
      <c r="DJ485" s="51"/>
      <c r="DK485" s="51"/>
      <c r="DL485" s="51"/>
      <c r="DM485" s="51"/>
      <c r="DN485" s="51"/>
      <c r="DO485" s="51"/>
      <c r="DP485" s="51"/>
      <c r="DQ485" s="51"/>
      <c r="DR485" s="51"/>
      <c r="DS485" s="51"/>
      <c r="DT485" s="51"/>
      <c r="DU485" s="51"/>
      <c r="DV485" s="51"/>
      <c r="DZ485" s="51"/>
      <c r="EA485" s="51"/>
      <c r="EB485" s="51"/>
      <c r="EC485" s="51"/>
    </row>
    <row r="486" spans="5:133" hidden="1" x14ac:dyDescent="0.2">
      <c r="E486" s="88" t="s">
        <v>246</v>
      </c>
      <c r="G486" s="51"/>
      <c r="H486" s="51"/>
      <c r="I486" s="51"/>
      <c r="J486" s="51"/>
      <c r="K486" s="51"/>
      <c r="L486" s="91"/>
      <c r="M486" s="51"/>
      <c r="N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Z486" s="51"/>
      <c r="EA486" s="51"/>
      <c r="EB486" s="51"/>
      <c r="EC486" s="51"/>
    </row>
    <row r="487" spans="5:133" hidden="1" x14ac:dyDescent="0.2">
      <c r="E487" s="88" t="s">
        <v>247</v>
      </c>
      <c r="G487" s="76"/>
      <c r="H487" s="76"/>
      <c r="I487" s="76"/>
      <c r="J487" s="76"/>
      <c r="K487" s="76"/>
      <c r="L487" s="128"/>
      <c r="M487" s="76"/>
      <c r="N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c r="DE487" s="51"/>
      <c r="DF487" s="51"/>
      <c r="DG487" s="51"/>
      <c r="DH487" s="51"/>
      <c r="DI487" s="51"/>
      <c r="DJ487" s="51"/>
      <c r="DK487" s="51"/>
      <c r="DL487" s="51"/>
      <c r="DM487" s="51"/>
      <c r="DN487" s="51"/>
      <c r="DO487" s="51"/>
      <c r="DP487" s="51"/>
      <c r="DQ487" s="51"/>
      <c r="DR487" s="51"/>
      <c r="DS487" s="51"/>
      <c r="DT487" s="51"/>
      <c r="DU487" s="51"/>
      <c r="DV487" s="51"/>
      <c r="DZ487" s="51"/>
      <c r="EA487" s="51"/>
      <c r="EB487" s="51"/>
      <c r="EC487" s="51"/>
    </row>
    <row r="488" spans="5:133" hidden="1" x14ac:dyDescent="0.2">
      <c r="E488" s="88" t="s">
        <v>248</v>
      </c>
      <c r="G488" s="51"/>
      <c r="H488" s="51"/>
      <c r="I488" s="51"/>
      <c r="J488" s="51"/>
      <c r="K488" s="51"/>
      <c r="L488" s="91"/>
      <c r="M488" s="51"/>
      <c r="N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c r="DE488" s="51"/>
      <c r="DF488" s="51"/>
      <c r="DG488" s="51"/>
      <c r="DH488" s="51"/>
      <c r="DI488" s="51"/>
      <c r="DJ488" s="51"/>
      <c r="DK488" s="51"/>
      <c r="DL488" s="51"/>
      <c r="DM488" s="51"/>
      <c r="DN488" s="51"/>
      <c r="DO488" s="51"/>
      <c r="DP488" s="51"/>
      <c r="DQ488" s="51"/>
      <c r="DR488" s="51"/>
      <c r="DS488" s="51"/>
      <c r="DT488" s="51"/>
      <c r="DU488" s="51"/>
      <c r="DV488" s="51"/>
      <c r="DZ488" s="51"/>
      <c r="EA488" s="51"/>
      <c r="EB488" s="51"/>
      <c r="EC488" s="51"/>
    </row>
    <row r="489" spans="5:133" hidden="1" x14ac:dyDescent="0.2">
      <c r="E489" s="88" t="s">
        <v>249</v>
      </c>
      <c r="G489" s="76"/>
      <c r="H489" s="76"/>
      <c r="I489" s="76"/>
      <c r="J489" s="76"/>
      <c r="K489" s="76"/>
      <c r="L489" s="128"/>
      <c r="M489" s="51"/>
      <c r="N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c r="DE489" s="51"/>
      <c r="DF489" s="51"/>
      <c r="DG489" s="51"/>
      <c r="DH489" s="51"/>
      <c r="DI489" s="51"/>
      <c r="DJ489" s="51"/>
      <c r="DK489" s="51"/>
      <c r="DL489" s="51"/>
      <c r="DM489" s="51"/>
      <c r="DN489" s="51"/>
      <c r="DO489" s="51"/>
      <c r="DP489" s="51"/>
      <c r="DQ489" s="51"/>
      <c r="DR489" s="51"/>
      <c r="DS489" s="51"/>
      <c r="DT489" s="51"/>
      <c r="DU489" s="51"/>
      <c r="DV489" s="51"/>
      <c r="DZ489" s="51"/>
      <c r="EA489" s="51"/>
      <c r="EB489" s="51"/>
      <c r="EC489" s="51"/>
    </row>
    <row r="490" spans="5:133" hidden="1" x14ac:dyDescent="0.2">
      <c r="E490" s="88" t="s">
        <v>250</v>
      </c>
      <c r="G490" s="51"/>
      <c r="H490" s="51"/>
      <c r="I490" s="51"/>
      <c r="J490" s="51"/>
      <c r="K490" s="76"/>
      <c r="L490" s="91"/>
      <c r="M490" s="51"/>
      <c r="N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c r="DE490" s="51"/>
      <c r="DF490" s="51"/>
      <c r="DG490" s="51"/>
      <c r="DH490" s="51"/>
      <c r="DI490" s="51"/>
      <c r="DJ490" s="51"/>
      <c r="DK490" s="51"/>
      <c r="DL490" s="51"/>
      <c r="DM490" s="51"/>
      <c r="DN490" s="51"/>
      <c r="DO490" s="51"/>
      <c r="DP490" s="51"/>
      <c r="DQ490" s="51"/>
      <c r="DR490" s="51"/>
      <c r="DS490" s="51"/>
      <c r="DT490" s="51"/>
      <c r="DU490" s="51"/>
      <c r="DV490" s="51"/>
      <c r="DZ490" s="51"/>
      <c r="EA490" s="51"/>
      <c r="EB490" s="51"/>
      <c r="EC490" s="51"/>
    </row>
    <row r="491" spans="5:133" hidden="1" x14ac:dyDescent="0.2">
      <c r="E491" s="88" t="s">
        <v>251</v>
      </c>
      <c r="G491" s="51"/>
      <c r="H491" s="51"/>
      <c r="I491" s="51"/>
      <c r="J491" s="51"/>
      <c r="K491" s="76"/>
      <c r="L491" s="128"/>
      <c r="M491" s="51"/>
      <c r="N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c r="DE491" s="51"/>
      <c r="DF491" s="51"/>
      <c r="DG491" s="51"/>
      <c r="DH491" s="51"/>
      <c r="DI491" s="51"/>
      <c r="DJ491" s="51"/>
      <c r="DK491" s="51"/>
      <c r="DL491" s="51"/>
      <c r="DM491" s="51"/>
      <c r="DN491" s="51"/>
      <c r="DO491" s="51"/>
      <c r="DP491" s="51"/>
      <c r="DQ491" s="51"/>
      <c r="DR491" s="51"/>
      <c r="DS491" s="51"/>
      <c r="DT491" s="51"/>
      <c r="DU491" s="51"/>
      <c r="DV491" s="51"/>
      <c r="DZ491" s="51"/>
      <c r="EA491" s="51"/>
      <c r="EB491" s="51"/>
      <c r="EC491" s="51"/>
    </row>
    <row r="492" spans="5:133" hidden="1" x14ac:dyDescent="0.2">
      <c r="E492" s="88" t="s">
        <v>252</v>
      </c>
      <c r="G492" s="51"/>
      <c r="H492" s="51"/>
      <c r="I492" s="51"/>
      <c r="J492" s="51"/>
      <c r="K492" s="76"/>
      <c r="L492" s="128"/>
      <c r="M492" s="76"/>
      <c r="N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s="51"/>
      <c r="DR492" s="51"/>
      <c r="DS492" s="51"/>
      <c r="DT492" s="51"/>
      <c r="DU492" s="51"/>
      <c r="DV492" s="51"/>
      <c r="DZ492" s="51"/>
      <c r="EA492" s="51"/>
      <c r="EB492" s="51"/>
      <c r="EC492" s="51"/>
    </row>
    <row r="493" spans="5:133" hidden="1" x14ac:dyDescent="0.2">
      <c r="E493" s="88" t="s">
        <v>253</v>
      </c>
      <c r="G493" s="51"/>
      <c r="H493" s="51"/>
      <c r="I493" s="51"/>
      <c r="J493" s="51"/>
      <c r="K493" s="129"/>
      <c r="L493" s="130"/>
      <c r="M493" s="76"/>
      <c r="N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c r="DE493" s="51"/>
      <c r="DF493" s="51"/>
      <c r="DG493" s="51"/>
      <c r="DH493" s="51"/>
      <c r="DI493" s="51"/>
      <c r="DJ493" s="51"/>
      <c r="DK493" s="51"/>
      <c r="DL493" s="51"/>
      <c r="DM493" s="51"/>
      <c r="DN493" s="51"/>
      <c r="DO493" s="51"/>
      <c r="DP493" s="51"/>
      <c r="DQ493" s="51"/>
      <c r="DR493" s="51"/>
      <c r="DS493" s="51"/>
      <c r="DT493" s="51"/>
      <c r="DU493" s="51"/>
      <c r="DV493" s="51"/>
      <c r="DZ493" s="51"/>
      <c r="EA493" s="51"/>
      <c r="EB493" s="51"/>
      <c r="EC493" s="51"/>
    </row>
    <row r="494" spans="5:133" hidden="1" x14ac:dyDescent="0.2">
      <c r="E494" s="88" t="s">
        <v>254</v>
      </c>
      <c r="G494" s="51"/>
      <c r="H494" s="51"/>
      <c r="I494" s="51"/>
      <c r="J494" s="51"/>
      <c r="K494" s="76"/>
      <c r="L494" s="130"/>
      <c r="M494" s="76"/>
      <c r="N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c r="DE494" s="51"/>
      <c r="DF494" s="51"/>
      <c r="DG494" s="51"/>
      <c r="DH494" s="51"/>
      <c r="DI494" s="51"/>
      <c r="DJ494" s="51"/>
      <c r="DK494" s="51"/>
      <c r="DL494" s="51"/>
      <c r="DM494" s="51"/>
      <c r="DN494" s="51"/>
      <c r="DO494" s="51"/>
      <c r="DP494" s="51"/>
      <c r="DQ494" s="51"/>
      <c r="DR494" s="51"/>
      <c r="DS494" s="51"/>
      <c r="DT494" s="51"/>
      <c r="DU494" s="51"/>
      <c r="DV494" s="51"/>
      <c r="DZ494" s="51"/>
      <c r="EA494" s="51"/>
      <c r="EB494" s="51"/>
      <c r="EC494" s="51"/>
    </row>
    <row r="495" spans="5:133" hidden="1" x14ac:dyDescent="0.2">
      <c r="E495" s="88" t="s">
        <v>255</v>
      </c>
      <c r="G495" s="76"/>
      <c r="H495" s="76"/>
      <c r="I495" s="76"/>
      <c r="J495" s="76"/>
      <c r="K495" s="76"/>
      <c r="L495" s="128"/>
      <c r="M495" s="76"/>
      <c r="N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s="51"/>
      <c r="DR495" s="51"/>
      <c r="DS495" s="51"/>
      <c r="DT495" s="51"/>
      <c r="DU495" s="51"/>
      <c r="DV495" s="51"/>
      <c r="DZ495" s="51"/>
      <c r="EA495" s="51"/>
      <c r="EB495" s="51"/>
      <c r="EC495" s="51"/>
    </row>
    <row r="496" spans="5:133" hidden="1" x14ac:dyDescent="0.2">
      <c r="E496" s="88" t="s">
        <v>256</v>
      </c>
      <c r="G496" s="51"/>
      <c r="H496" s="51"/>
      <c r="I496" s="51"/>
      <c r="J496" s="51"/>
      <c r="K496" s="51"/>
      <c r="L496" s="91"/>
      <c r="M496" s="51"/>
      <c r="N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c r="DE496" s="51"/>
      <c r="DF496" s="51"/>
      <c r="DG496" s="51"/>
      <c r="DH496" s="51"/>
      <c r="DI496" s="51"/>
      <c r="DJ496" s="51"/>
      <c r="DK496" s="51"/>
      <c r="DL496" s="51"/>
      <c r="DM496" s="51"/>
      <c r="DN496" s="51"/>
      <c r="DO496" s="51"/>
      <c r="DP496" s="51"/>
      <c r="DQ496" s="51"/>
      <c r="DR496" s="51"/>
      <c r="DS496" s="51"/>
      <c r="DT496" s="51"/>
      <c r="DU496" s="51"/>
      <c r="DV496" s="51"/>
      <c r="DZ496" s="51"/>
      <c r="EA496" s="51"/>
      <c r="EB496" s="51"/>
      <c r="EC496" s="51"/>
    </row>
    <row r="497" spans="5:133" hidden="1" x14ac:dyDescent="0.2">
      <c r="E497" s="131" t="s">
        <v>257</v>
      </c>
      <c r="F497" s="132"/>
      <c r="G497" s="132"/>
      <c r="H497" s="132"/>
      <c r="I497" s="132"/>
      <c r="J497" s="132"/>
      <c r="K497" s="132"/>
      <c r="L497" s="133"/>
      <c r="M497" s="51"/>
      <c r="N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c r="DE497" s="51"/>
      <c r="DF497" s="51"/>
      <c r="DG497" s="51"/>
      <c r="DH497" s="51"/>
      <c r="DI497" s="51"/>
      <c r="DJ497" s="51"/>
      <c r="DK497" s="51"/>
      <c r="DL497" s="51"/>
      <c r="DM497" s="51"/>
      <c r="DN497" s="51"/>
      <c r="DO497" s="51"/>
      <c r="DP497" s="51"/>
      <c r="DQ497" s="51"/>
      <c r="DR497" s="51"/>
      <c r="DS497" s="51"/>
      <c r="DT497" s="51"/>
      <c r="DU497" s="51"/>
      <c r="DV497" s="51"/>
      <c r="DZ497" s="51"/>
      <c r="EA497" s="51"/>
      <c r="EB497" s="51"/>
      <c r="EC497" s="51"/>
    </row>
    <row r="498" spans="5:133" ht="12.75" hidden="1" thickBot="1" x14ac:dyDescent="0.25">
      <c r="E498" s="134" t="s">
        <v>258</v>
      </c>
      <c r="F498" s="135"/>
      <c r="G498" s="136"/>
      <c r="H498" s="136"/>
      <c r="I498" s="136"/>
      <c r="J498" s="136"/>
      <c r="K498" s="136"/>
      <c r="L498" s="137"/>
      <c r="M498" s="138"/>
      <c r="N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c r="DE498" s="51"/>
      <c r="DF498" s="51"/>
      <c r="DG498" s="51"/>
      <c r="DH498" s="51"/>
      <c r="DI498" s="51"/>
      <c r="DJ498" s="51"/>
      <c r="DK498" s="51"/>
      <c r="DL498" s="51"/>
      <c r="DM498" s="51"/>
      <c r="DN498" s="51"/>
      <c r="DO498" s="51"/>
      <c r="DP498" s="51"/>
      <c r="DQ498" s="51"/>
      <c r="DR498" s="51"/>
      <c r="DS498" s="51"/>
      <c r="DT498" s="51"/>
      <c r="DU498" s="51"/>
      <c r="DV498" s="51"/>
      <c r="DW498" s="51" t="s">
        <v>259</v>
      </c>
      <c r="DZ498" s="51"/>
      <c r="EA498" s="51"/>
      <c r="EB498" s="51"/>
      <c r="EC498" s="51"/>
    </row>
    <row r="499" spans="5:133" x14ac:dyDescent="0.2">
      <c r="G499" s="51"/>
      <c r="H499" s="51"/>
      <c r="I499" s="51"/>
      <c r="J499" s="51"/>
      <c r="K499" s="51"/>
      <c r="L499" s="51"/>
      <c r="M499" s="51"/>
      <c r="N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c r="DE499" s="51"/>
      <c r="DF499" s="51"/>
      <c r="DG499" s="51"/>
      <c r="DH499" s="51"/>
      <c r="DI499" s="51"/>
      <c r="DJ499" s="51"/>
      <c r="DK499" s="51"/>
      <c r="DL499" s="51"/>
      <c r="DM499" s="51"/>
      <c r="DN499" s="51"/>
      <c r="DO499" s="51"/>
      <c r="DP499" s="51"/>
      <c r="DQ499" s="51"/>
      <c r="DR499" s="51"/>
      <c r="DS499" s="51"/>
      <c r="DT499" s="51"/>
      <c r="DU499" s="51"/>
      <c r="DV499" s="51"/>
      <c r="DW499" s="51" t="s">
        <v>259</v>
      </c>
      <c r="DZ499" s="51"/>
      <c r="EA499" s="51"/>
      <c r="EB499" s="51"/>
      <c r="EC499" s="51"/>
    </row>
    <row r="500" spans="5:133" x14ac:dyDescent="0.2">
      <c r="G500" s="51"/>
      <c r="H500" s="51"/>
      <c r="I500" s="51"/>
      <c r="J500" s="51"/>
      <c r="K500" s="51"/>
      <c r="L500" s="138"/>
      <c r="M500" s="138"/>
      <c r="N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s="51"/>
      <c r="DR500" s="51"/>
      <c r="DS500" s="51"/>
      <c r="DT500" s="51"/>
      <c r="DU500" s="51"/>
      <c r="DV500" s="51"/>
      <c r="DW500" s="51" t="s">
        <v>259</v>
      </c>
      <c r="DZ500" s="51"/>
      <c r="EA500" s="51"/>
      <c r="EB500" s="51"/>
      <c r="EC500" s="51"/>
    </row>
    <row r="501" spans="5:133" x14ac:dyDescent="0.2">
      <c r="G501" s="51"/>
      <c r="H501" s="51"/>
      <c r="I501" s="51"/>
      <c r="J501" s="51"/>
      <c r="K501" s="51"/>
      <c r="L501" s="51"/>
      <c r="M501" s="51"/>
      <c r="N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s="51"/>
      <c r="DR501" s="51"/>
      <c r="DS501" s="51"/>
      <c r="DT501" s="51"/>
      <c r="DU501" s="51"/>
      <c r="DV501" s="51"/>
      <c r="DW501" s="51" t="s">
        <v>259</v>
      </c>
      <c r="DZ501" s="51"/>
      <c r="EA501" s="51"/>
      <c r="EB501" s="51"/>
      <c r="EC501" s="51"/>
    </row>
    <row r="502" spans="5:133" x14ac:dyDescent="0.2">
      <c r="G502" s="51"/>
      <c r="H502" s="51"/>
      <c r="I502" s="51"/>
      <c r="J502" s="51"/>
      <c r="K502" s="51"/>
      <c r="L502" s="51"/>
      <c r="M502" s="51"/>
      <c r="N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s="51"/>
      <c r="DR502" s="51"/>
      <c r="DS502" s="51"/>
      <c r="DT502" s="51"/>
      <c r="DU502" s="51"/>
      <c r="DV502" s="51"/>
      <c r="DZ502" s="51"/>
      <c r="EA502" s="51"/>
      <c r="EB502" s="51"/>
      <c r="EC502" s="51"/>
    </row>
    <row r="503" spans="5:133" x14ac:dyDescent="0.2">
      <c r="G503" s="51"/>
      <c r="H503" s="51"/>
      <c r="I503" s="51"/>
      <c r="J503" s="51"/>
      <c r="K503" s="51"/>
      <c r="L503" s="51"/>
      <c r="M503" s="51"/>
      <c r="N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c r="DE503" s="51"/>
      <c r="DF503" s="51"/>
      <c r="DG503" s="51"/>
      <c r="DH503" s="51"/>
      <c r="DI503" s="51"/>
      <c r="DJ503" s="51"/>
      <c r="DK503" s="51"/>
      <c r="DL503" s="51"/>
      <c r="DM503" s="51"/>
      <c r="DN503" s="51"/>
      <c r="DO503" s="51"/>
      <c r="DP503" s="51"/>
      <c r="DQ503" s="51"/>
      <c r="DR503" s="51"/>
      <c r="DS503" s="51"/>
      <c r="DT503" s="51"/>
      <c r="DU503" s="51"/>
      <c r="DV503" s="51"/>
      <c r="DZ503" s="51"/>
      <c r="EA503" s="51"/>
      <c r="EB503" s="51"/>
      <c r="EC503" s="51"/>
    </row>
    <row r="504" spans="5:133" x14ac:dyDescent="0.2">
      <c r="G504" s="51"/>
      <c r="H504" s="51"/>
      <c r="I504" s="51"/>
      <c r="J504" s="51"/>
      <c r="K504" s="51"/>
      <c r="L504" s="51"/>
      <c r="M504" s="51"/>
      <c r="N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c r="DE504" s="51"/>
      <c r="DF504" s="51"/>
      <c r="DG504" s="51"/>
      <c r="DH504" s="51"/>
      <c r="DI504" s="51"/>
      <c r="DJ504" s="51"/>
      <c r="DK504" s="51"/>
      <c r="DL504" s="51"/>
      <c r="DM504" s="51"/>
      <c r="DN504" s="51"/>
      <c r="DO504" s="51"/>
      <c r="DP504" s="51"/>
      <c r="DQ504" s="51"/>
      <c r="DR504" s="51"/>
      <c r="DS504" s="51"/>
      <c r="DT504" s="51"/>
      <c r="DU504" s="51"/>
      <c r="DV504" s="51"/>
      <c r="DZ504" s="51"/>
      <c r="EA504" s="51"/>
      <c r="EB504" s="51"/>
      <c r="EC504" s="51"/>
    </row>
    <row r="505" spans="5:133" x14ac:dyDescent="0.2">
      <c r="G505" s="51"/>
      <c r="H505" s="51"/>
      <c r="I505" s="51"/>
      <c r="J505" s="51"/>
      <c r="K505" s="51"/>
      <c r="L505" s="51"/>
      <c r="M505" s="51"/>
      <c r="N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51"/>
      <c r="BL505" s="51"/>
      <c r="BM505" s="51"/>
      <c r="BN505" s="51"/>
      <c r="BO505" s="51"/>
      <c r="BP505" s="51"/>
      <c r="BQ505" s="51"/>
      <c r="BR505" s="51"/>
      <c r="BS505" s="51"/>
      <c r="BT505" s="51"/>
      <c r="BU505" s="51"/>
      <c r="BV505" s="51"/>
      <c r="BW505" s="51"/>
      <c r="BX505" s="51"/>
      <c r="BY505" s="51"/>
      <c r="BZ505" s="51"/>
      <c r="CA505" s="51"/>
      <c r="CB505" s="51"/>
      <c r="CC505" s="51"/>
      <c r="CD505" s="51"/>
      <c r="CE505" s="51"/>
      <c r="CF505" s="51"/>
      <c r="CG505" s="51"/>
      <c r="CH505" s="51"/>
      <c r="CI505" s="51"/>
      <c r="CJ505" s="51"/>
      <c r="CK505" s="51"/>
      <c r="CL505" s="51"/>
      <c r="CM505" s="51"/>
      <c r="CN505" s="51"/>
      <c r="CO505" s="51"/>
      <c r="CP505" s="51"/>
      <c r="CQ505" s="51"/>
      <c r="CR505" s="51"/>
      <c r="CS505" s="51"/>
      <c r="CT505" s="51"/>
      <c r="CU505" s="51"/>
      <c r="CV505" s="51"/>
      <c r="CW505" s="51"/>
      <c r="CX505" s="51"/>
      <c r="CY505" s="51"/>
      <c r="CZ505" s="51"/>
      <c r="DA505" s="51"/>
      <c r="DB505" s="51"/>
      <c r="DC505" s="51"/>
      <c r="DD505" s="51"/>
      <c r="DE505" s="51"/>
      <c r="DF505" s="51"/>
      <c r="DG505" s="51"/>
      <c r="DH505" s="51"/>
      <c r="DI505" s="51"/>
      <c r="DJ505" s="51"/>
      <c r="DK505" s="51"/>
      <c r="DL505" s="51"/>
      <c r="DM505" s="51"/>
      <c r="DN505" s="51"/>
      <c r="DO505" s="51"/>
      <c r="DP505" s="51"/>
      <c r="DQ505" s="51"/>
      <c r="DR505" s="51"/>
      <c r="DS505" s="51"/>
      <c r="DT505" s="51"/>
      <c r="DU505" s="51"/>
      <c r="DV505" s="51"/>
      <c r="DZ505" s="51"/>
      <c r="EA505" s="51"/>
      <c r="EB505" s="51"/>
      <c r="EC505" s="51"/>
    </row>
    <row r="506" spans="5:133" x14ac:dyDescent="0.2">
      <c r="G506" s="51"/>
      <c r="H506" s="51"/>
      <c r="I506" s="51"/>
      <c r="J506" s="51"/>
      <c r="K506" s="51"/>
      <c r="L506" s="51"/>
      <c r="M506" s="51"/>
      <c r="N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51"/>
      <c r="BL506" s="51"/>
      <c r="BM506" s="51"/>
      <c r="BN506" s="51"/>
      <c r="BO506" s="51"/>
      <c r="BP506" s="51"/>
      <c r="BQ506" s="51"/>
      <c r="BR506" s="51"/>
      <c r="BS506" s="51"/>
      <c r="BT506" s="51"/>
      <c r="BU506" s="51"/>
      <c r="BV506" s="51"/>
      <c r="BW506" s="51"/>
      <c r="BX506" s="51"/>
      <c r="BY506" s="51"/>
      <c r="BZ506" s="51"/>
      <c r="CA506" s="51"/>
      <c r="CB506" s="51"/>
      <c r="CC506" s="51"/>
      <c r="CD506" s="51"/>
      <c r="CE506" s="51"/>
      <c r="CF506" s="51"/>
      <c r="CG506" s="51"/>
      <c r="CH506" s="51"/>
      <c r="CI506" s="51"/>
      <c r="CJ506" s="51"/>
      <c r="CK506" s="51"/>
      <c r="CL506" s="51"/>
      <c r="CM506" s="51"/>
      <c r="CN506" s="51"/>
      <c r="CO506" s="51"/>
      <c r="CP506" s="51"/>
      <c r="CQ506" s="51"/>
      <c r="CR506" s="51"/>
      <c r="CS506" s="51"/>
      <c r="CT506" s="51"/>
      <c r="CU506" s="51"/>
      <c r="CV506" s="51"/>
      <c r="CW506" s="51"/>
      <c r="CX506" s="51"/>
      <c r="CY506" s="51"/>
      <c r="CZ506" s="51"/>
      <c r="DA506" s="51"/>
      <c r="DB506" s="51"/>
      <c r="DC506" s="51"/>
      <c r="DD506" s="51"/>
      <c r="DE506" s="51"/>
      <c r="DF506" s="51"/>
      <c r="DG506" s="51"/>
      <c r="DH506" s="51"/>
      <c r="DI506" s="51"/>
      <c r="DJ506" s="51"/>
      <c r="DK506" s="51"/>
      <c r="DL506" s="51"/>
      <c r="DM506" s="51"/>
      <c r="DN506" s="51"/>
      <c r="DO506" s="51"/>
      <c r="DP506" s="51"/>
      <c r="DQ506" s="51"/>
      <c r="DR506" s="51"/>
      <c r="DS506" s="51"/>
      <c r="DT506" s="51"/>
      <c r="DU506" s="51"/>
      <c r="DV506" s="51"/>
      <c r="DZ506" s="51"/>
      <c r="EA506" s="51"/>
      <c r="EB506" s="51"/>
      <c r="EC506" s="51"/>
    </row>
    <row r="507" spans="5:133" x14ac:dyDescent="0.2">
      <c r="G507" s="51"/>
      <c r="H507" s="51"/>
      <c r="I507" s="51"/>
      <c r="J507" s="51"/>
      <c r="K507" s="51"/>
      <c r="L507" s="51"/>
      <c r="M507" s="51"/>
      <c r="N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51"/>
      <c r="BR507" s="51"/>
      <c r="BS507" s="51"/>
      <c r="BT507" s="51"/>
      <c r="BU507" s="51"/>
      <c r="BV507" s="51"/>
      <c r="BW507" s="51"/>
      <c r="BX507" s="51"/>
      <c r="BY507" s="51"/>
      <c r="BZ507" s="51"/>
      <c r="CA507" s="51"/>
      <c r="CB507" s="51"/>
      <c r="CC507" s="51"/>
      <c r="CD507" s="51"/>
      <c r="CE507" s="51"/>
      <c r="CF507" s="51"/>
      <c r="CG507" s="51"/>
      <c r="CH507" s="51"/>
      <c r="CI507" s="51"/>
      <c r="CJ507" s="51"/>
      <c r="CK507" s="51"/>
      <c r="CL507" s="51"/>
      <c r="CM507" s="51"/>
      <c r="CN507" s="51"/>
      <c r="CO507" s="51"/>
      <c r="CP507" s="51"/>
      <c r="CQ507" s="51"/>
      <c r="CR507" s="51"/>
      <c r="CS507" s="51"/>
      <c r="CT507" s="51"/>
      <c r="CU507" s="51"/>
      <c r="CV507" s="51"/>
      <c r="CW507" s="51"/>
      <c r="CX507" s="51"/>
      <c r="CY507" s="51"/>
      <c r="CZ507" s="51"/>
      <c r="DA507" s="51"/>
      <c r="DB507" s="51"/>
      <c r="DC507" s="51"/>
      <c r="DD507" s="51"/>
      <c r="DE507" s="51"/>
      <c r="DF507" s="51"/>
      <c r="DG507" s="51"/>
      <c r="DH507" s="51"/>
      <c r="DI507" s="51"/>
      <c r="DJ507" s="51"/>
      <c r="DK507" s="51"/>
      <c r="DL507" s="51"/>
      <c r="DM507" s="51"/>
      <c r="DN507" s="51"/>
      <c r="DO507" s="51"/>
      <c r="DP507" s="51"/>
      <c r="DQ507" s="51"/>
      <c r="DR507" s="51"/>
      <c r="DS507" s="51"/>
      <c r="DT507" s="51"/>
      <c r="DU507" s="51"/>
      <c r="DV507" s="51"/>
      <c r="DZ507" s="51"/>
      <c r="EA507" s="51"/>
      <c r="EB507" s="51"/>
      <c r="EC507" s="51"/>
    </row>
    <row r="508" spans="5:133" x14ac:dyDescent="0.2">
      <c r="G508" s="51"/>
      <c r="H508" s="51"/>
      <c r="I508" s="51"/>
      <c r="J508" s="51"/>
      <c r="K508" s="51"/>
      <c r="L508" s="51"/>
      <c r="M508" s="51"/>
      <c r="N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51"/>
      <c r="BR508" s="51"/>
      <c r="BS508" s="51"/>
      <c r="BT508" s="51"/>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Z508" s="51"/>
      <c r="EA508" s="51"/>
      <c r="EB508" s="51"/>
      <c r="EC508" s="51"/>
    </row>
    <row r="509" spans="5:133" x14ac:dyDescent="0.2">
      <c r="G509" s="51"/>
      <c r="H509" s="51"/>
      <c r="I509" s="51"/>
      <c r="J509" s="51"/>
      <c r="K509" s="51"/>
      <c r="L509" s="51"/>
      <c r="M509" s="51"/>
      <c r="N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51"/>
      <c r="BR509" s="51"/>
      <c r="BS509" s="51"/>
      <c r="BT509" s="51"/>
      <c r="BU509" s="51"/>
      <c r="BV509" s="51"/>
      <c r="BW509" s="51"/>
      <c r="BX509" s="51"/>
      <c r="BY509" s="51"/>
      <c r="BZ509" s="51"/>
      <c r="CA509" s="51"/>
      <c r="CB509" s="51"/>
      <c r="CC509" s="51"/>
      <c r="CD509" s="51"/>
      <c r="CE509" s="51"/>
      <c r="CF509" s="51"/>
      <c r="CG509" s="51"/>
      <c r="CH509" s="51"/>
      <c r="CI509" s="51"/>
      <c r="CJ509" s="51"/>
      <c r="CK509" s="51"/>
      <c r="CL509" s="51"/>
      <c r="CM509" s="51"/>
      <c r="CN509" s="51"/>
      <c r="CO509" s="51"/>
      <c r="CP509" s="51"/>
      <c r="CQ509" s="51"/>
      <c r="CR509" s="51"/>
      <c r="CS509" s="51"/>
      <c r="CT509" s="51"/>
      <c r="CU509" s="51"/>
      <c r="CV509" s="51"/>
      <c r="CW509" s="51"/>
      <c r="CX509" s="51"/>
      <c r="CY509" s="51"/>
      <c r="CZ509" s="51"/>
      <c r="DA509" s="51"/>
      <c r="DB509" s="51"/>
      <c r="DC509" s="51"/>
      <c r="DD509" s="51"/>
      <c r="DE509" s="51"/>
      <c r="DF509" s="51"/>
      <c r="DG509" s="51"/>
      <c r="DH509" s="51"/>
      <c r="DI509" s="51"/>
      <c r="DJ509" s="51"/>
      <c r="DK509" s="51"/>
      <c r="DL509" s="51"/>
      <c r="DM509" s="51"/>
      <c r="DN509" s="51"/>
      <c r="DO509" s="51"/>
      <c r="DP509" s="51"/>
      <c r="DQ509" s="51"/>
      <c r="DR509" s="51"/>
      <c r="DS509" s="51"/>
      <c r="DT509" s="51"/>
      <c r="DU509" s="51"/>
      <c r="DV509" s="51"/>
      <c r="DZ509" s="51"/>
      <c r="EA509" s="51"/>
      <c r="EB509" s="51"/>
      <c r="EC509" s="51"/>
    </row>
    <row r="510" spans="5:133" x14ac:dyDescent="0.2">
      <c r="G510" s="51"/>
      <c r="H510" s="51"/>
      <c r="I510" s="51"/>
      <c r="J510" s="51"/>
      <c r="K510" s="51"/>
      <c r="L510" s="51"/>
      <c r="M510" s="51"/>
      <c r="N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c r="DM510" s="51"/>
      <c r="DN510" s="51"/>
      <c r="DO510" s="51"/>
      <c r="DP510" s="51"/>
      <c r="DQ510" s="51"/>
      <c r="DR510" s="51"/>
      <c r="DS510" s="51"/>
      <c r="DT510" s="51"/>
      <c r="DU510" s="51"/>
      <c r="DV510" s="51"/>
      <c r="DZ510" s="51"/>
      <c r="EA510" s="51"/>
      <c r="EB510" s="51"/>
      <c r="EC510" s="51"/>
    </row>
    <row r="511" spans="5:133" x14ac:dyDescent="0.2">
      <c r="G511" s="51"/>
      <c r="H511" s="51"/>
      <c r="I511" s="51"/>
      <c r="J511" s="51"/>
      <c r="K511" s="51"/>
      <c r="L511" s="51"/>
      <c r="M511" s="51"/>
      <c r="N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c r="DM511" s="51"/>
      <c r="DN511" s="51"/>
      <c r="DO511" s="51"/>
      <c r="DP511" s="51"/>
      <c r="DQ511" s="51"/>
      <c r="DR511" s="51"/>
      <c r="DS511" s="51"/>
      <c r="DT511" s="51"/>
      <c r="DU511" s="51"/>
      <c r="DV511" s="51"/>
      <c r="DZ511" s="51"/>
      <c r="EA511" s="51"/>
      <c r="EB511" s="51"/>
      <c r="EC511" s="51"/>
    </row>
    <row r="512" spans="5:133" x14ac:dyDescent="0.2">
      <c r="G512" s="51"/>
      <c r="H512" s="51"/>
      <c r="I512" s="51"/>
      <c r="J512" s="51"/>
      <c r="K512" s="51"/>
      <c r="L512" s="51"/>
      <c r="M512" s="51"/>
      <c r="N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51"/>
      <c r="BL512" s="51"/>
      <c r="BM512" s="51"/>
      <c r="BN512" s="51"/>
      <c r="BO512" s="51"/>
      <c r="BP512" s="51"/>
      <c r="BQ512" s="51"/>
      <c r="BR512" s="51"/>
      <c r="BS512" s="51"/>
      <c r="BT512" s="51"/>
      <c r="BU512" s="51"/>
      <c r="BV512" s="51"/>
      <c r="BW512" s="51"/>
      <c r="BX512" s="51"/>
      <c r="BY512" s="51"/>
      <c r="BZ512" s="51"/>
      <c r="CA512" s="51"/>
      <c r="CB512" s="51"/>
      <c r="CC512" s="51"/>
      <c r="CD512" s="51"/>
      <c r="CE512" s="51"/>
      <c r="CF512" s="51"/>
      <c r="CG512" s="51"/>
      <c r="CH512" s="51"/>
      <c r="CI512" s="51"/>
      <c r="CJ512" s="51"/>
      <c r="CK512" s="51"/>
      <c r="CL512" s="51"/>
      <c r="CM512" s="51"/>
      <c r="CN512" s="51"/>
      <c r="CO512" s="51"/>
      <c r="CP512" s="51"/>
      <c r="CQ512" s="51"/>
      <c r="CR512" s="51"/>
      <c r="CS512" s="51"/>
      <c r="CT512" s="51"/>
      <c r="CU512" s="51"/>
      <c r="CV512" s="51"/>
      <c r="CW512" s="51"/>
      <c r="CX512" s="51"/>
      <c r="CY512" s="51"/>
      <c r="CZ512" s="51"/>
      <c r="DA512" s="51"/>
      <c r="DB512" s="51"/>
      <c r="DC512" s="51"/>
      <c r="DD512" s="51"/>
      <c r="DE512" s="51"/>
      <c r="DF512" s="51"/>
      <c r="DG512" s="51"/>
      <c r="DH512" s="51"/>
      <c r="DI512" s="51"/>
      <c r="DJ512" s="51"/>
      <c r="DK512" s="51"/>
      <c r="DL512" s="51"/>
      <c r="DM512" s="51"/>
      <c r="DN512" s="51"/>
      <c r="DO512" s="51"/>
      <c r="DP512" s="51"/>
      <c r="DQ512" s="51"/>
      <c r="DR512" s="51"/>
      <c r="DS512" s="51"/>
      <c r="DT512" s="51"/>
      <c r="DU512" s="51"/>
      <c r="DV512" s="51"/>
      <c r="DZ512" s="51"/>
      <c r="EA512" s="51"/>
      <c r="EB512" s="51"/>
      <c r="EC512" s="51"/>
    </row>
    <row r="513" spans="7:133" x14ac:dyDescent="0.2">
      <c r="G513" s="51"/>
      <c r="H513" s="51"/>
      <c r="I513" s="51"/>
      <c r="J513" s="51"/>
      <c r="K513" s="51"/>
      <c r="L513" s="51"/>
      <c r="M513" s="51"/>
      <c r="N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51"/>
      <c r="BR513" s="51"/>
      <c r="BS513" s="51"/>
      <c r="BT513" s="51"/>
      <c r="BU513" s="51"/>
      <c r="BV513" s="51"/>
      <c r="BW513" s="51"/>
      <c r="BX513" s="51"/>
      <c r="BY513" s="51"/>
      <c r="BZ513" s="51"/>
      <c r="CA513" s="51"/>
      <c r="CB513" s="51"/>
      <c r="CC513" s="51"/>
      <c r="CD513" s="51"/>
      <c r="CE513" s="51"/>
      <c r="CF513" s="51"/>
      <c r="CG513" s="51"/>
      <c r="CH513" s="51"/>
      <c r="CI513" s="51"/>
      <c r="CJ513" s="51"/>
      <c r="CK513" s="51"/>
      <c r="CL513" s="51"/>
      <c r="CM513" s="51"/>
      <c r="CN513" s="51"/>
      <c r="CO513" s="51"/>
      <c r="CP513" s="51"/>
      <c r="CQ513" s="51"/>
      <c r="CR513" s="51"/>
      <c r="CS513" s="51"/>
      <c r="CT513" s="51"/>
      <c r="CU513" s="51"/>
      <c r="CV513" s="51"/>
      <c r="CW513" s="51"/>
      <c r="CX513" s="51"/>
      <c r="CY513" s="51"/>
      <c r="CZ513" s="51"/>
      <c r="DA513" s="51"/>
      <c r="DB513" s="51"/>
      <c r="DC513" s="51"/>
      <c r="DD513" s="51"/>
      <c r="DE513" s="51"/>
      <c r="DF513" s="51"/>
      <c r="DG513" s="51"/>
      <c r="DH513" s="51"/>
      <c r="DI513" s="51"/>
      <c r="DJ513" s="51"/>
      <c r="DK513" s="51"/>
      <c r="DL513" s="51"/>
      <c r="DM513" s="51"/>
      <c r="DN513" s="51"/>
      <c r="DO513" s="51"/>
      <c r="DP513" s="51"/>
      <c r="DQ513" s="51"/>
      <c r="DR513" s="51"/>
      <c r="DS513" s="51"/>
      <c r="DT513" s="51"/>
      <c r="DU513" s="51"/>
      <c r="DV513" s="51"/>
      <c r="DZ513" s="51"/>
      <c r="EA513" s="51"/>
      <c r="EB513" s="51"/>
      <c r="EC513" s="51"/>
    </row>
    <row r="514" spans="7:133" x14ac:dyDescent="0.2">
      <c r="G514" s="51"/>
      <c r="H514" s="51"/>
      <c r="I514" s="51"/>
      <c r="J514" s="51"/>
      <c r="K514" s="51"/>
      <c r="L514" s="51"/>
      <c r="M514" s="51"/>
      <c r="N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c r="CU514" s="51"/>
      <c r="CV514" s="51"/>
      <c r="CW514" s="51"/>
      <c r="CX514" s="51"/>
      <c r="CY514" s="51"/>
      <c r="CZ514" s="51"/>
      <c r="DA514" s="51"/>
      <c r="DB514" s="51"/>
      <c r="DC514" s="51"/>
      <c r="DD514" s="51"/>
      <c r="DE514" s="51"/>
      <c r="DF514" s="51"/>
      <c r="DG514" s="51"/>
      <c r="DH514" s="51"/>
      <c r="DI514" s="51"/>
      <c r="DJ514" s="51"/>
      <c r="DK514" s="51"/>
      <c r="DL514" s="51"/>
      <c r="DM514" s="51"/>
      <c r="DN514" s="51"/>
      <c r="DO514" s="51"/>
      <c r="DP514" s="51"/>
      <c r="DQ514" s="51"/>
      <c r="DR514" s="51"/>
      <c r="DS514" s="51"/>
      <c r="DT514" s="51"/>
      <c r="DU514" s="51"/>
      <c r="DV514" s="51"/>
      <c r="DZ514" s="51"/>
      <c r="EA514" s="51"/>
      <c r="EB514" s="51"/>
      <c r="EC514" s="51"/>
    </row>
    <row r="515" spans="7:133" x14ac:dyDescent="0.2">
      <c r="G515" s="51"/>
      <c r="H515" s="51"/>
      <c r="I515" s="51"/>
      <c r="J515" s="51"/>
      <c r="K515" s="51"/>
      <c r="L515" s="51"/>
      <c r="M515" s="51"/>
      <c r="N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51"/>
      <c r="BR515" s="51"/>
      <c r="BS515" s="51"/>
      <c r="BT515" s="51"/>
      <c r="BU515" s="51"/>
      <c r="BV515" s="51"/>
      <c r="BW515" s="51"/>
      <c r="BX515" s="51"/>
      <c r="BY515" s="51"/>
      <c r="BZ515" s="51"/>
      <c r="CA515" s="51"/>
      <c r="CB515" s="51"/>
      <c r="CC515" s="51"/>
      <c r="CD515" s="51"/>
      <c r="CE515" s="51"/>
      <c r="CF515" s="51"/>
      <c r="CG515" s="51"/>
      <c r="CH515" s="51"/>
      <c r="CI515" s="51"/>
      <c r="CJ515" s="51"/>
      <c r="CK515" s="51"/>
      <c r="CL515" s="51"/>
      <c r="CM515" s="51"/>
      <c r="CN515" s="51"/>
      <c r="CO515" s="51"/>
      <c r="CP515" s="51"/>
      <c r="CQ515" s="51"/>
      <c r="CR515" s="51"/>
      <c r="CS515" s="51"/>
      <c r="CT515" s="51"/>
      <c r="CU515" s="51"/>
      <c r="CV515" s="51"/>
      <c r="CW515" s="51"/>
      <c r="CX515" s="51"/>
      <c r="CY515" s="51"/>
      <c r="CZ515" s="51"/>
      <c r="DA515" s="51"/>
      <c r="DB515" s="51"/>
      <c r="DC515" s="51"/>
      <c r="DD515" s="51"/>
      <c r="DE515" s="51"/>
      <c r="DF515" s="51"/>
      <c r="DG515" s="51"/>
      <c r="DH515" s="51"/>
      <c r="DI515" s="51"/>
      <c r="DJ515" s="51"/>
      <c r="DK515" s="51"/>
      <c r="DL515" s="51"/>
      <c r="DM515" s="51"/>
      <c r="DN515" s="51"/>
      <c r="DO515" s="51"/>
      <c r="DP515" s="51"/>
      <c r="DQ515" s="51"/>
      <c r="DR515" s="51"/>
      <c r="DS515" s="51"/>
      <c r="DT515" s="51"/>
      <c r="DU515" s="51"/>
      <c r="DV515" s="51"/>
      <c r="DZ515" s="51"/>
      <c r="EA515" s="51"/>
      <c r="EB515" s="51"/>
      <c r="EC515" s="51"/>
    </row>
  </sheetData>
  <sheetProtection algorithmName="SHA-512" hashValue="JxaIBHFRpkGMgbK5IiLnvEE+mj85XcVmhClvIVJ7dD5vIBcrpRAnX0lSr1FvS71bWKLpw0RJCYV/WT1U77nZqA==" saltValue="ZEykGOF5pgONqsDFDqYnZQ==" spinCount="100000" sheet="1" objects="1" scenarios="1"/>
  <mergeCells count="1899">
    <mergeCell ref="EG321:EG323"/>
    <mergeCell ref="EG300:EG302"/>
    <mergeCell ref="EG196:EG198"/>
    <mergeCell ref="EG199:EG201"/>
    <mergeCell ref="EA160:EA162"/>
    <mergeCell ref="EB160:EB162"/>
    <mergeCell ref="EC160:EC162"/>
    <mergeCell ref="ED160:ED162"/>
    <mergeCell ref="EE160:EE162"/>
    <mergeCell ref="EF160:EF162"/>
    <mergeCell ref="EG160:EG162"/>
    <mergeCell ref="EI160:EI162"/>
    <mergeCell ref="EJ160:EJ162"/>
    <mergeCell ref="A163:A165"/>
    <mergeCell ref="B163:B165"/>
    <mergeCell ref="C163:C165"/>
    <mergeCell ref="D163:D165"/>
    <mergeCell ref="E163:E165"/>
    <mergeCell ref="DX163:DX165"/>
    <mergeCell ref="DZ163:DZ165"/>
    <mergeCell ref="EA163:EA165"/>
    <mergeCell ref="EB163:EB165"/>
    <mergeCell ref="EC163:EC165"/>
    <mergeCell ref="ED163:ED165"/>
    <mergeCell ref="EE163:EE165"/>
    <mergeCell ref="EF163:EF165"/>
    <mergeCell ref="EG163:EG165"/>
    <mergeCell ref="EI163:EI165"/>
    <mergeCell ref="EJ163:EJ165"/>
    <mergeCell ref="A160:A162"/>
    <mergeCell ref="E160:E162"/>
    <mergeCell ref="DX160:DX162"/>
    <mergeCell ref="EG343:EG345"/>
    <mergeCell ref="EG275:EG277"/>
    <mergeCell ref="EG346:EG348"/>
    <mergeCell ref="EG355:EG357"/>
    <mergeCell ref="EG172:EG174"/>
    <mergeCell ref="D331:D333"/>
    <mergeCell ref="E331:E333"/>
    <mergeCell ref="EG175:EG177"/>
    <mergeCell ref="EG178:EG180"/>
    <mergeCell ref="EG181:EG183"/>
    <mergeCell ref="EG184:EG186"/>
    <mergeCell ref="EG202:EG204"/>
    <mergeCell ref="EG245:EG247"/>
    <mergeCell ref="EG324:EG326"/>
    <mergeCell ref="EG248:EG250"/>
    <mergeCell ref="EG251:EG253"/>
    <mergeCell ref="EG254:EG256"/>
    <mergeCell ref="EG257:EG259"/>
    <mergeCell ref="EG260:EG262"/>
    <mergeCell ref="EG263:EG265"/>
    <mergeCell ref="EG266:EG268"/>
    <mergeCell ref="EG269:EG271"/>
    <mergeCell ref="EG272:EG274"/>
    <mergeCell ref="EG187:EG189"/>
    <mergeCell ref="EG190:EG192"/>
    <mergeCell ref="EG193:EG195"/>
    <mergeCell ref="EG303:EG305"/>
    <mergeCell ref="EG306:EG308"/>
    <mergeCell ref="EG309:EG311"/>
    <mergeCell ref="EG312:EG314"/>
    <mergeCell ref="EG315:EG317"/>
    <mergeCell ref="EG318:EG320"/>
    <mergeCell ref="EG358:EG360"/>
    <mergeCell ref="EG361:EG363"/>
    <mergeCell ref="EG364:EG366"/>
    <mergeCell ref="EG278:EG280"/>
    <mergeCell ref="EG281:EG283"/>
    <mergeCell ref="EG284:EG286"/>
    <mergeCell ref="EG287:EG289"/>
    <mergeCell ref="EG290:EG292"/>
    <mergeCell ref="EG294:EG296"/>
    <mergeCell ref="EG297:EG299"/>
    <mergeCell ref="EG379:EG381"/>
    <mergeCell ref="EG370:EG372"/>
    <mergeCell ref="EG373:EG375"/>
    <mergeCell ref="EG376:EG378"/>
    <mergeCell ref="EG367:EG369"/>
    <mergeCell ref="EG109:EG111"/>
    <mergeCell ref="EG214:EG216"/>
    <mergeCell ref="EG118:EG120"/>
    <mergeCell ref="EG142:EG144"/>
    <mergeCell ref="EG349:EG351"/>
    <mergeCell ref="EG352:EG354"/>
    <mergeCell ref="EG229:EG231"/>
    <mergeCell ref="EG232:EG234"/>
    <mergeCell ref="EG235:EG237"/>
    <mergeCell ref="EG238:EG240"/>
    <mergeCell ref="EG241:EG243"/>
    <mergeCell ref="EG205:EG207"/>
    <mergeCell ref="EG328:EG330"/>
    <mergeCell ref="EG331:EG333"/>
    <mergeCell ref="EG334:EG336"/>
    <mergeCell ref="EG337:EG339"/>
    <mergeCell ref="EG340:EG342"/>
    <mergeCell ref="EG226:EG228"/>
    <mergeCell ref="EG70:EG72"/>
    <mergeCell ref="EG73:EG75"/>
    <mergeCell ref="EG76:EG78"/>
    <mergeCell ref="EG79:EG81"/>
    <mergeCell ref="EG82:EG84"/>
    <mergeCell ref="EG85:EG87"/>
    <mergeCell ref="EG88:EG90"/>
    <mergeCell ref="EG91:EG93"/>
    <mergeCell ref="EG94:EG96"/>
    <mergeCell ref="EG136:EG138"/>
    <mergeCell ref="EG148:EG150"/>
    <mergeCell ref="EG112:EG114"/>
    <mergeCell ref="EG100:EG102"/>
    <mergeCell ref="EG103:EG105"/>
    <mergeCell ref="EG106:EG108"/>
    <mergeCell ref="EG139:EG141"/>
    <mergeCell ref="EG157:EG159"/>
    <mergeCell ref="EG151:EG153"/>
    <mergeCell ref="EG115:EG117"/>
    <mergeCell ref="EG154:EG156"/>
    <mergeCell ref="A343:A345"/>
    <mergeCell ref="EA343:EA345"/>
    <mergeCell ref="A355:A357"/>
    <mergeCell ref="A358:A360"/>
    <mergeCell ref="A361:A363"/>
    <mergeCell ref="DX379:DX381"/>
    <mergeCell ref="EG19:EG21"/>
    <mergeCell ref="EG22:EG24"/>
    <mergeCell ref="EG25:EG27"/>
    <mergeCell ref="EG28:EG30"/>
    <mergeCell ref="EG31:EG33"/>
    <mergeCell ref="EG34:EG36"/>
    <mergeCell ref="EG37:EG39"/>
    <mergeCell ref="EG40:EG42"/>
    <mergeCell ref="EG43:EG45"/>
    <mergeCell ref="EG46:EG48"/>
    <mergeCell ref="EG49:EG51"/>
    <mergeCell ref="EG52:EG54"/>
    <mergeCell ref="EG55:EG57"/>
    <mergeCell ref="EG58:EG60"/>
    <mergeCell ref="EG61:EG63"/>
    <mergeCell ref="EG64:EG66"/>
    <mergeCell ref="EG67:EG69"/>
    <mergeCell ref="EG97:EG99"/>
    <mergeCell ref="EG217:EG219"/>
    <mergeCell ref="EG121:EG123"/>
    <mergeCell ref="EG145:EG147"/>
    <mergeCell ref="EG127:EG129"/>
    <mergeCell ref="EG124:EG126"/>
    <mergeCell ref="EG130:EG132"/>
    <mergeCell ref="EG220:EG222"/>
    <mergeCell ref="EG223:EG225"/>
    <mergeCell ref="EE379:EE381"/>
    <mergeCell ref="EF379:EF381"/>
    <mergeCell ref="A382:A384"/>
    <mergeCell ref="B382:B384"/>
    <mergeCell ref="C382:C384"/>
    <mergeCell ref="D382:D384"/>
    <mergeCell ref="B355:B357"/>
    <mergeCell ref="C355:C357"/>
    <mergeCell ref="D355:D357"/>
    <mergeCell ref="E355:E357"/>
    <mergeCell ref="E361:E363"/>
    <mergeCell ref="B358:B360"/>
    <mergeCell ref="C358:C360"/>
    <mergeCell ref="D358:D360"/>
    <mergeCell ref="E358:E360"/>
    <mergeCell ref="A364:A366"/>
    <mergeCell ref="A367:A369"/>
    <mergeCell ref="A370:A372"/>
    <mergeCell ref="E379:E381"/>
    <mergeCell ref="D379:D381"/>
    <mergeCell ref="C379:C381"/>
    <mergeCell ref="B379:B381"/>
    <mergeCell ref="A379:A381"/>
    <mergeCell ref="B370:B372"/>
    <mergeCell ref="DZ379:DZ381"/>
    <mergeCell ref="EA379:EA381"/>
    <mergeCell ref="EB379:EB381"/>
    <mergeCell ref="EC379:EC381"/>
    <mergeCell ref="ED379:ED381"/>
    <mergeCell ref="EE376:EE378"/>
    <mergeCell ref="EF376:EF378"/>
    <mergeCell ref="C340:C342"/>
    <mergeCell ref="D340:D342"/>
    <mergeCell ref="E340:E342"/>
    <mergeCell ref="ED367:ED369"/>
    <mergeCell ref="DX370:DX372"/>
    <mergeCell ref="EC370:EC372"/>
    <mergeCell ref="ED370:ED372"/>
    <mergeCell ref="DZ373:DZ375"/>
    <mergeCell ref="C370:C372"/>
    <mergeCell ref="D370:D372"/>
    <mergeCell ref="E370:E372"/>
    <mergeCell ref="DZ370:DZ372"/>
    <mergeCell ref="EA370:EA372"/>
    <mergeCell ref="EB370:EB372"/>
    <mergeCell ref="D361:D363"/>
    <mergeCell ref="DX376:DX378"/>
    <mergeCell ref="DZ376:DZ378"/>
    <mergeCell ref="EA373:EA375"/>
    <mergeCell ref="D343:D345"/>
    <mergeCell ref="EA358:EA360"/>
    <mergeCell ref="C343:C345"/>
    <mergeCell ref="EB376:EB378"/>
    <mergeCell ref="EC376:EC378"/>
    <mergeCell ref="ED376:ED378"/>
    <mergeCell ref="E376:E378"/>
    <mergeCell ref="DX355:DX357"/>
    <mergeCell ref="DZ355:DZ357"/>
    <mergeCell ref="EA367:EA369"/>
    <mergeCell ref="EC373:EC375"/>
    <mergeCell ref="A124:A126"/>
    <mergeCell ref="B124:B126"/>
    <mergeCell ref="C124:C126"/>
    <mergeCell ref="D124:D126"/>
    <mergeCell ref="E124:E126"/>
    <mergeCell ref="A254:A256"/>
    <mergeCell ref="A334:A336"/>
    <mergeCell ref="B334:B336"/>
    <mergeCell ref="C334:C336"/>
    <mergeCell ref="D334:D336"/>
    <mergeCell ref="B190:B192"/>
    <mergeCell ref="C190:C192"/>
    <mergeCell ref="D190:D192"/>
    <mergeCell ref="E190:E192"/>
    <mergeCell ref="A187:A189"/>
    <mergeCell ref="B187:B189"/>
    <mergeCell ref="C187:C189"/>
    <mergeCell ref="D187:D189"/>
    <mergeCell ref="A196:A198"/>
    <mergeCell ref="B196:B198"/>
    <mergeCell ref="C196:C198"/>
    <mergeCell ref="E334:E336"/>
    <mergeCell ref="A331:A333"/>
    <mergeCell ref="B331:B333"/>
    <mergeCell ref="C331:C333"/>
    <mergeCell ref="B226:B228"/>
    <mergeCell ref="B328:B330"/>
    <mergeCell ref="C328:C330"/>
    <mergeCell ref="D328:D330"/>
    <mergeCell ref="D254:D256"/>
    <mergeCell ref="B254:B256"/>
    <mergeCell ref="A328:A330"/>
    <mergeCell ref="A175:A177"/>
    <mergeCell ref="D175:D177"/>
    <mergeCell ref="E175:E177"/>
    <mergeCell ref="E254:E256"/>
    <mergeCell ref="D266:D268"/>
    <mergeCell ref="A190:A192"/>
    <mergeCell ref="A205:A207"/>
    <mergeCell ref="B205:B207"/>
    <mergeCell ref="C205:C207"/>
    <mergeCell ref="E251:E253"/>
    <mergeCell ref="E181:E183"/>
    <mergeCell ref="A251:A253"/>
    <mergeCell ref="A220:A222"/>
    <mergeCell ref="B241:B243"/>
    <mergeCell ref="E187:E189"/>
    <mergeCell ref="E199:E201"/>
    <mergeCell ref="E196:E198"/>
    <mergeCell ref="C217:C219"/>
    <mergeCell ref="D205:D207"/>
    <mergeCell ref="E205:E207"/>
    <mergeCell ref="C238:C240"/>
    <mergeCell ref="D238:D240"/>
    <mergeCell ref="E238:E240"/>
    <mergeCell ref="D232:D234"/>
    <mergeCell ref="D223:D225"/>
    <mergeCell ref="D214:D216"/>
    <mergeCell ref="E232:E234"/>
    <mergeCell ref="D235:D237"/>
    <mergeCell ref="E235:E237"/>
    <mergeCell ref="C254:C256"/>
    <mergeCell ref="C257:C259"/>
    <mergeCell ref="A260:A262"/>
    <mergeCell ref="A172:A174"/>
    <mergeCell ref="A223:A225"/>
    <mergeCell ref="A178:A180"/>
    <mergeCell ref="B297:B299"/>
    <mergeCell ref="C297:C299"/>
    <mergeCell ref="D297:D299"/>
    <mergeCell ref="C284:C286"/>
    <mergeCell ref="A297:A299"/>
    <mergeCell ref="B290:B292"/>
    <mergeCell ref="C290:C292"/>
    <mergeCell ref="D196:D198"/>
    <mergeCell ref="A193:A195"/>
    <mergeCell ref="B193:B195"/>
    <mergeCell ref="C193:C195"/>
    <mergeCell ref="D193:D195"/>
    <mergeCell ref="A235:A237"/>
    <mergeCell ref="B235:B237"/>
    <mergeCell ref="D202:D204"/>
    <mergeCell ref="B229:B231"/>
    <mergeCell ref="C229:C231"/>
    <mergeCell ref="A232:A234"/>
    <mergeCell ref="B232:B234"/>
    <mergeCell ref="B223:B225"/>
    <mergeCell ref="A238:A240"/>
    <mergeCell ref="B238:B240"/>
    <mergeCell ref="A229:A231"/>
    <mergeCell ref="A269:A271"/>
    <mergeCell ref="A257:A259"/>
    <mergeCell ref="B257:B259"/>
    <mergeCell ref="C278:C280"/>
    <mergeCell ref="B263:B265"/>
    <mergeCell ref="A275:A277"/>
    <mergeCell ref="A284:A286"/>
    <mergeCell ref="B284:B286"/>
    <mergeCell ref="E266:E268"/>
    <mergeCell ref="A278:A280"/>
    <mergeCell ref="A272:A274"/>
    <mergeCell ref="A294:A296"/>
    <mergeCell ref="DZ331:DZ333"/>
    <mergeCell ref="A266:A268"/>
    <mergeCell ref="B321:B323"/>
    <mergeCell ref="C321:C323"/>
    <mergeCell ref="D321:D323"/>
    <mergeCell ref="E321:E323"/>
    <mergeCell ref="A312:A314"/>
    <mergeCell ref="A318:A320"/>
    <mergeCell ref="B318:B320"/>
    <mergeCell ref="C318:C320"/>
    <mergeCell ref="D318:D320"/>
    <mergeCell ref="E318:E320"/>
    <mergeCell ref="B315:B317"/>
    <mergeCell ref="C315:C317"/>
    <mergeCell ref="D315:D317"/>
    <mergeCell ref="E315:E317"/>
    <mergeCell ref="E328:E330"/>
    <mergeCell ref="D275:D277"/>
    <mergeCell ref="A281:A283"/>
    <mergeCell ref="DZ321:DZ323"/>
    <mergeCell ref="A300:A302"/>
    <mergeCell ref="B300:B302"/>
    <mergeCell ref="C300:C302"/>
    <mergeCell ref="C287:C289"/>
    <mergeCell ref="D287:D289"/>
    <mergeCell ref="A290:A292"/>
    <mergeCell ref="B337:B339"/>
    <mergeCell ref="C337:C339"/>
    <mergeCell ref="B340:B342"/>
    <mergeCell ref="DX226:DX228"/>
    <mergeCell ref="C232:C234"/>
    <mergeCell ref="EA245:EA247"/>
    <mergeCell ref="DX241:DX243"/>
    <mergeCell ref="EC346:EC348"/>
    <mergeCell ref="EB331:EB333"/>
    <mergeCell ref="EC331:EC333"/>
    <mergeCell ref="D226:D228"/>
    <mergeCell ref="E226:E228"/>
    <mergeCell ref="B251:B253"/>
    <mergeCell ref="C251:C253"/>
    <mergeCell ref="D251:D253"/>
    <mergeCell ref="B248:B250"/>
    <mergeCell ref="C248:C250"/>
    <mergeCell ref="D248:D250"/>
    <mergeCell ref="E248:E250"/>
    <mergeCell ref="DX232:DX234"/>
    <mergeCell ref="EB238:EB240"/>
    <mergeCell ref="D241:D243"/>
    <mergeCell ref="E241:E243"/>
    <mergeCell ref="E297:E299"/>
    <mergeCell ref="E346:E348"/>
    <mergeCell ref="E343:E345"/>
    <mergeCell ref="D257:D259"/>
    <mergeCell ref="E257:E259"/>
    <mergeCell ref="D229:D231"/>
    <mergeCell ref="EC248:EC250"/>
    <mergeCell ref="B287:B289"/>
    <mergeCell ref="B294:B296"/>
    <mergeCell ref="A340:A342"/>
    <mergeCell ref="EB367:EB369"/>
    <mergeCell ref="EC367:EC369"/>
    <mergeCell ref="DX367:DX369"/>
    <mergeCell ref="EB358:EB360"/>
    <mergeCell ref="EA337:EA339"/>
    <mergeCell ref="C346:C348"/>
    <mergeCell ref="D346:D348"/>
    <mergeCell ref="B343:B345"/>
    <mergeCell ref="B346:B348"/>
    <mergeCell ref="A376:A378"/>
    <mergeCell ref="A349:A351"/>
    <mergeCell ref="B349:B351"/>
    <mergeCell ref="C349:C351"/>
    <mergeCell ref="D349:D351"/>
    <mergeCell ref="E349:E351"/>
    <mergeCell ref="B367:B369"/>
    <mergeCell ref="C367:C369"/>
    <mergeCell ref="D367:D369"/>
    <mergeCell ref="E367:E369"/>
    <mergeCell ref="DZ361:DZ363"/>
    <mergeCell ref="D337:D339"/>
    <mergeCell ref="E337:E339"/>
    <mergeCell ref="DX349:DX351"/>
    <mergeCell ref="A346:A348"/>
    <mergeCell ref="A337:A339"/>
    <mergeCell ref="EB361:EB363"/>
    <mergeCell ref="A352:A354"/>
    <mergeCell ref="B376:B378"/>
    <mergeCell ref="C376:C378"/>
    <mergeCell ref="D376:D378"/>
    <mergeCell ref="EB373:EB375"/>
    <mergeCell ref="B352:B354"/>
    <mergeCell ref="C352:C354"/>
    <mergeCell ref="D352:D354"/>
    <mergeCell ref="E352:E354"/>
    <mergeCell ref="D364:D366"/>
    <mergeCell ref="E364:E366"/>
    <mergeCell ref="B361:B363"/>
    <mergeCell ref="C361:C363"/>
    <mergeCell ref="EA361:EA363"/>
    <mergeCell ref="DX361:DX363"/>
    <mergeCell ref="B364:B366"/>
    <mergeCell ref="C364:C366"/>
    <mergeCell ref="EA376:EA378"/>
    <mergeCell ref="A373:A375"/>
    <mergeCell ref="B373:B375"/>
    <mergeCell ref="C373:C375"/>
    <mergeCell ref="D373:D375"/>
    <mergeCell ref="E373:E375"/>
    <mergeCell ref="DZ352:DZ354"/>
    <mergeCell ref="EA352:EA354"/>
    <mergeCell ref="EC193:EC195"/>
    <mergeCell ref="ED193:ED195"/>
    <mergeCell ref="EE193:EE195"/>
    <mergeCell ref="EB352:EB354"/>
    <mergeCell ref="EC352:EC354"/>
    <mergeCell ref="ED352:ED354"/>
    <mergeCell ref="EE352:EE354"/>
    <mergeCell ref="EF352:EF354"/>
    <mergeCell ref="DX328:DX330"/>
    <mergeCell ref="DZ328:DZ330"/>
    <mergeCell ref="EA328:EA330"/>
    <mergeCell ref="EB328:EB330"/>
    <mergeCell ref="EC328:EC330"/>
    <mergeCell ref="ED328:ED330"/>
    <mergeCell ref="EE328:EE330"/>
    <mergeCell ref="EF328:EF330"/>
    <mergeCell ref="EB355:EB357"/>
    <mergeCell ref="EC355:EC357"/>
    <mergeCell ref="ED355:ED357"/>
    <mergeCell ref="DX340:DX342"/>
    <mergeCell ref="DZ340:DZ342"/>
    <mergeCell ref="EA340:EA342"/>
    <mergeCell ref="EF340:EF342"/>
    <mergeCell ref="EC343:EC345"/>
    <mergeCell ref="EA346:EA348"/>
    <mergeCell ref="EB346:EB348"/>
    <mergeCell ref="EF337:EF339"/>
    <mergeCell ref="EE340:EE342"/>
    <mergeCell ref="ED346:ED348"/>
    <mergeCell ref="ED340:ED342"/>
    <mergeCell ref="DX343:DX345"/>
    <mergeCell ref="DZ343:DZ345"/>
    <mergeCell ref="DX205:DX207"/>
    <mergeCell ref="DZ205:DZ207"/>
    <mergeCell ref="EC205:EC207"/>
    <mergeCell ref="ED205:ED207"/>
    <mergeCell ref="EE205:EE207"/>
    <mergeCell ref="EF205:EF207"/>
    <mergeCell ref="EC358:EC360"/>
    <mergeCell ref="EF349:EF351"/>
    <mergeCell ref="EC349:EC351"/>
    <mergeCell ref="EC337:EC339"/>
    <mergeCell ref="EF334:EF336"/>
    <mergeCell ref="DX346:DX348"/>
    <mergeCell ref="DZ346:DZ348"/>
    <mergeCell ref="EE337:EE339"/>
    <mergeCell ref="ED337:ED339"/>
    <mergeCell ref="EE331:EE333"/>
    <mergeCell ref="EC340:EC342"/>
    <mergeCell ref="DX331:DX333"/>
    <mergeCell ref="EF355:EF357"/>
    <mergeCell ref="DX352:DX354"/>
    <mergeCell ref="EB343:EB345"/>
    <mergeCell ref="EE358:EE360"/>
    <mergeCell ref="EB337:EB339"/>
    <mergeCell ref="DZ337:DZ339"/>
    <mergeCell ref="DX337:DX339"/>
    <mergeCell ref="EA355:EA357"/>
    <mergeCell ref="EA331:EA333"/>
    <mergeCell ref="ED343:ED345"/>
    <mergeCell ref="DX334:DX336"/>
    <mergeCell ref="DZ334:DZ336"/>
    <mergeCell ref="EA334:EA336"/>
    <mergeCell ref="EB334:EB336"/>
    <mergeCell ref="DZ193:DZ195"/>
    <mergeCell ref="EA193:EA195"/>
    <mergeCell ref="EB193:EB195"/>
    <mergeCell ref="DX190:DX192"/>
    <mergeCell ref="DZ190:DZ192"/>
    <mergeCell ref="EA190:EA192"/>
    <mergeCell ref="ED349:ED351"/>
    <mergeCell ref="EE349:EE351"/>
    <mergeCell ref="EE343:EE345"/>
    <mergeCell ref="EF343:EF345"/>
    <mergeCell ref="EF346:EF348"/>
    <mergeCell ref="DX199:DX201"/>
    <mergeCell ref="DZ199:DZ201"/>
    <mergeCell ref="EA199:EA201"/>
    <mergeCell ref="EB199:EB201"/>
    <mergeCell ref="EC199:EC201"/>
    <mergeCell ref="ED199:ED201"/>
    <mergeCell ref="EE199:EE201"/>
    <mergeCell ref="EF199:EF201"/>
    <mergeCell ref="EB340:EB342"/>
    <mergeCell ref="EF331:EF333"/>
    <mergeCell ref="ED281:ED283"/>
    <mergeCell ref="ED331:ED333"/>
    <mergeCell ref="ED278:ED280"/>
    <mergeCell ref="EC278:EC280"/>
    <mergeCell ref="EB278:EB280"/>
    <mergeCell ref="EA278:EA280"/>
    <mergeCell ref="EF193:EF195"/>
    <mergeCell ref="EC196:EC198"/>
    <mergeCell ref="ED196:ED198"/>
    <mergeCell ref="EE196:EE198"/>
    <mergeCell ref="EF196:EF198"/>
    <mergeCell ref="EC334:EC336"/>
    <mergeCell ref="ED334:ED336"/>
    <mergeCell ref="EE334:EE336"/>
    <mergeCell ref="ED373:ED375"/>
    <mergeCell ref="EE373:EE375"/>
    <mergeCell ref="EE367:EE369"/>
    <mergeCell ref="EF367:EF369"/>
    <mergeCell ref="DX364:DX366"/>
    <mergeCell ref="DZ364:DZ366"/>
    <mergeCell ref="EF364:EF366"/>
    <mergeCell ref="EE370:EE372"/>
    <mergeCell ref="EF370:EF372"/>
    <mergeCell ref="DZ349:DZ351"/>
    <mergeCell ref="EA349:EA351"/>
    <mergeCell ref="EB349:EB351"/>
    <mergeCell ref="DZ358:DZ360"/>
    <mergeCell ref="EA364:EA366"/>
    <mergeCell ref="EB364:EB366"/>
    <mergeCell ref="EC364:EC366"/>
    <mergeCell ref="ED364:ED366"/>
    <mergeCell ref="EE364:EE366"/>
    <mergeCell ref="EE346:EE348"/>
    <mergeCell ref="EC361:EC363"/>
    <mergeCell ref="ED361:ED363"/>
    <mergeCell ref="ED358:ED360"/>
    <mergeCell ref="DZ367:DZ369"/>
    <mergeCell ref="EC136:EC138"/>
    <mergeCell ref="EF358:EF360"/>
    <mergeCell ref="EE355:EE357"/>
    <mergeCell ref="EF373:EF375"/>
    <mergeCell ref="DX373:DX375"/>
    <mergeCell ref="EF76:EF78"/>
    <mergeCell ref="EF85:EF87"/>
    <mergeCell ref="EE85:EE87"/>
    <mergeCell ref="ED85:ED87"/>
    <mergeCell ref="EE361:EE363"/>
    <mergeCell ref="EF361:EF363"/>
    <mergeCell ref="DX358:DX360"/>
    <mergeCell ref="DX88:DX90"/>
    <mergeCell ref="EB190:EB192"/>
    <mergeCell ref="EF175:EF177"/>
    <mergeCell ref="EE175:EE177"/>
    <mergeCell ref="ED175:ED177"/>
    <mergeCell ref="EC175:EC177"/>
    <mergeCell ref="ED229:ED231"/>
    <mergeCell ref="EE229:EE231"/>
    <mergeCell ref="EF229:EF231"/>
    <mergeCell ref="EA226:EA228"/>
    <mergeCell ref="EA109:EA111"/>
    <mergeCell ref="EF284:EF286"/>
    <mergeCell ref="EB287:EB289"/>
    <mergeCell ref="EC85:EC87"/>
    <mergeCell ref="EE88:EE90"/>
    <mergeCell ref="EE121:EE123"/>
    <mergeCell ref="EB148:EB150"/>
    <mergeCell ref="ED148:ED150"/>
    <mergeCell ref="EC148:EC150"/>
    <mergeCell ref="EC76:EC78"/>
    <mergeCell ref="EF178:EF180"/>
    <mergeCell ref="EE157:EE159"/>
    <mergeCell ref="ED154:ED156"/>
    <mergeCell ref="EE154:EE156"/>
    <mergeCell ref="EF154:EF156"/>
    <mergeCell ref="EE172:EE174"/>
    <mergeCell ref="EF79:EF81"/>
    <mergeCell ref="ED91:ED93"/>
    <mergeCell ref="EF124:EF126"/>
    <mergeCell ref="EE124:EE126"/>
    <mergeCell ref="ED124:ED126"/>
    <mergeCell ref="EC124:EC126"/>
    <mergeCell ref="EB124:EB126"/>
    <mergeCell ref="EC112:EC114"/>
    <mergeCell ref="EB112:EB114"/>
    <mergeCell ref="EC115:EC117"/>
    <mergeCell ref="ED115:ED117"/>
    <mergeCell ref="EB121:EB123"/>
    <mergeCell ref="EC121:EC123"/>
    <mergeCell ref="EE106:EE108"/>
    <mergeCell ref="ED106:ED108"/>
    <mergeCell ref="EF103:EF105"/>
    <mergeCell ref="ED97:ED99"/>
    <mergeCell ref="ED103:ED105"/>
    <mergeCell ref="EC100:EC102"/>
    <mergeCell ref="EF88:EF90"/>
    <mergeCell ref="EB88:EB90"/>
    <mergeCell ref="EF136:EF138"/>
    <mergeCell ref="EE136:EE138"/>
    <mergeCell ref="ED94:ED96"/>
    <mergeCell ref="EE94:EE96"/>
    <mergeCell ref="ED136:ED138"/>
    <mergeCell ref="EF130:EF132"/>
    <mergeCell ref="EE130:EE132"/>
    <mergeCell ref="ED130:ED132"/>
    <mergeCell ref="EC130:EC132"/>
    <mergeCell ref="EB130:EB132"/>
    <mergeCell ref="EA130:EA132"/>
    <mergeCell ref="EC97:EC99"/>
    <mergeCell ref="EF97:EF99"/>
    <mergeCell ref="EF106:EF108"/>
    <mergeCell ref="EE127:EE129"/>
    <mergeCell ref="EF127:EF129"/>
    <mergeCell ref="EF100:EF102"/>
    <mergeCell ref="ED100:ED102"/>
    <mergeCell ref="EB109:EB111"/>
    <mergeCell ref="EC109:EC111"/>
    <mergeCell ref="EA112:EA114"/>
    <mergeCell ref="EB115:EB117"/>
    <mergeCell ref="EF118:EF120"/>
    <mergeCell ref="EC106:EC108"/>
    <mergeCell ref="ED118:ED120"/>
    <mergeCell ref="EE103:EE105"/>
    <mergeCell ref="EB100:EB102"/>
    <mergeCell ref="EE97:EE99"/>
    <mergeCell ref="EF115:EF117"/>
    <mergeCell ref="EE73:EE75"/>
    <mergeCell ref="EB76:EB78"/>
    <mergeCell ref="EB79:EB81"/>
    <mergeCell ref="EC79:EC81"/>
    <mergeCell ref="EA76:EA78"/>
    <mergeCell ref="EB73:EB75"/>
    <mergeCell ref="EA94:EA96"/>
    <mergeCell ref="EE76:EE78"/>
    <mergeCell ref="EE79:EE81"/>
    <mergeCell ref="ED79:ED81"/>
    <mergeCell ref="ED70:ED72"/>
    <mergeCell ref="EC70:EC72"/>
    <mergeCell ref="EB70:EB72"/>
    <mergeCell ref="EA70:EA72"/>
    <mergeCell ref="ED76:ED78"/>
    <mergeCell ref="D127:D129"/>
    <mergeCell ref="D133:D135"/>
    <mergeCell ref="DZ88:DZ90"/>
    <mergeCell ref="EE115:EE117"/>
    <mergeCell ref="EB103:EB105"/>
    <mergeCell ref="EC103:EC105"/>
    <mergeCell ref="DZ118:DZ120"/>
    <mergeCell ref="ED88:ED90"/>
    <mergeCell ref="EE91:EE93"/>
    <mergeCell ref="EC94:EC96"/>
    <mergeCell ref="EC91:EC93"/>
    <mergeCell ref="C139:C141"/>
    <mergeCell ref="C133:C135"/>
    <mergeCell ref="C121:C123"/>
    <mergeCell ref="B76:B78"/>
    <mergeCell ref="B82:B84"/>
    <mergeCell ref="C82:C84"/>
    <mergeCell ref="DX91:DX93"/>
    <mergeCell ref="C76:C78"/>
    <mergeCell ref="D76:D78"/>
    <mergeCell ref="B79:B81"/>
    <mergeCell ref="E100:E102"/>
    <mergeCell ref="EA103:EA105"/>
    <mergeCell ref="B94:B96"/>
    <mergeCell ref="D79:D81"/>
    <mergeCell ref="B103:B105"/>
    <mergeCell ref="C103:C105"/>
    <mergeCell ref="D103:D105"/>
    <mergeCell ref="C97:C99"/>
    <mergeCell ref="D97:D99"/>
    <mergeCell ref="EA88:EA90"/>
    <mergeCell ref="EA91:EA93"/>
    <mergeCell ref="DZ91:DZ93"/>
    <mergeCell ref="EA85:EA87"/>
    <mergeCell ref="DX100:DX102"/>
    <mergeCell ref="EA124:EA126"/>
    <mergeCell ref="DZ124:DZ126"/>
    <mergeCell ref="DX124:DX126"/>
    <mergeCell ref="E118:E120"/>
    <mergeCell ref="D91:D93"/>
    <mergeCell ref="DZ112:DZ114"/>
    <mergeCell ref="B112:B114"/>
    <mergeCell ref="B121:B123"/>
    <mergeCell ref="B115:B117"/>
    <mergeCell ref="C115:C117"/>
    <mergeCell ref="D115:D117"/>
    <mergeCell ref="D121:D123"/>
    <mergeCell ref="DZ79:DZ81"/>
    <mergeCell ref="EA79:EA81"/>
    <mergeCell ref="B85:B87"/>
    <mergeCell ref="C85:C87"/>
    <mergeCell ref="D85:D87"/>
    <mergeCell ref="E79:E81"/>
    <mergeCell ref="DX85:DX87"/>
    <mergeCell ref="DZ100:DZ102"/>
    <mergeCell ref="DZ103:DZ105"/>
    <mergeCell ref="DZ85:DZ87"/>
    <mergeCell ref="D82:D84"/>
    <mergeCell ref="E82:E84"/>
    <mergeCell ref="D109:D111"/>
    <mergeCell ref="C109:C111"/>
    <mergeCell ref="C118:C120"/>
    <mergeCell ref="D112:D114"/>
    <mergeCell ref="C112:C114"/>
    <mergeCell ref="DX112:DX114"/>
    <mergeCell ref="EA100:EA102"/>
    <mergeCell ref="EA121:EA123"/>
    <mergeCell ref="A40:A42"/>
    <mergeCell ref="A43:A45"/>
    <mergeCell ref="B43:B45"/>
    <mergeCell ref="D43:D45"/>
    <mergeCell ref="C43:C45"/>
    <mergeCell ref="A64:A66"/>
    <mergeCell ref="E85:E87"/>
    <mergeCell ref="B145:B147"/>
    <mergeCell ref="C145:C147"/>
    <mergeCell ref="DX64:DX66"/>
    <mergeCell ref="E64:E66"/>
    <mergeCell ref="A103:A105"/>
    <mergeCell ref="A61:A63"/>
    <mergeCell ref="B61:B63"/>
    <mergeCell ref="C61:C63"/>
    <mergeCell ref="DX40:DX42"/>
    <mergeCell ref="E37:E39"/>
    <mergeCell ref="C46:C48"/>
    <mergeCell ref="D46:D48"/>
    <mergeCell ref="E46:E48"/>
    <mergeCell ref="E43:E45"/>
    <mergeCell ref="DX58:DX60"/>
    <mergeCell ref="A52:A54"/>
    <mergeCell ref="B52:B54"/>
    <mergeCell ref="A118:A120"/>
    <mergeCell ref="DX118:DX120"/>
    <mergeCell ref="A82:A84"/>
    <mergeCell ref="A79:A81"/>
    <mergeCell ref="C136:C138"/>
    <mergeCell ref="D136:D138"/>
    <mergeCell ref="C79:C81"/>
    <mergeCell ref="E76:E78"/>
    <mergeCell ref="A22:A24"/>
    <mergeCell ref="B22:B24"/>
    <mergeCell ref="C22:C24"/>
    <mergeCell ref="D22:D24"/>
    <mergeCell ref="E22:E24"/>
    <mergeCell ref="EB16:EB18"/>
    <mergeCell ref="EC25:EC27"/>
    <mergeCell ref="EB25:EB27"/>
    <mergeCell ref="DZ25:DZ27"/>
    <mergeCell ref="EB31:EB33"/>
    <mergeCell ref="A28:A30"/>
    <mergeCell ref="B28:B30"/>
    <mergeCell ref="C28:C30"/>
    <mergeCell ref="D28:D30"/>
    <mergeCell ref="B40:B42"/>
    <mergeCell ref="C40:C42"/>
    <mergeCell ref="D40:D42"/>
    <mergeCell ref="EA25:EA27"/>
    <mergeCell ref="EC40:EC42"/>
    <mergeCell ref="EB40:EB42"/>
    <mergeCell ref="A16:A18"/>
    <mergeCell ref="B16:B18"/>
    <mergeCell ref="C16:C18"/>
    <mergeCell ref="D16:D18"/>
    <mergeCell ref="E16:E18"/>
    <mergeCell ref="DZ16:DZ18"/>
    <mergeCell ref="DX16:DX18"/>
    <mergeCell ref="EA16:EA18"/>
    <mergeCell ref="E40:E42"/>
    <mergeCell ref="A31:A33"/>
    <mergeCell ref="B37:B39"/>
    <mergeCell ref="EB37:EB39"/>
    <mergeCell ref="ED22:ED24"/>
    <mergeCell ref="EC22:EC24"/>
    <mergeCell ref="ED73:ED75"/>
    <mergeCell ref="EF70:EF72"/>
    <mergeCell ref="EC88:EC90"/>
    <mergeCell ref="EF73:EF75"/>
    <mergeCell ref="G1:U1"/>
    <mergeCell ref="V1:AG1"/>
    <mergeCell ref="AH1:DW1"/>
    <mergeCell ref="G2:U2"/>
    <mergeCell ref="V2:AG2"/>
    <mergeCell ref="AH2:DW2"/>
    <mergeCell ref="E3:DW3"/>
    <mergeCell ref="DX22:DX24"/>
    <mergeCell ref="E25:E27"/>
    <mergeCell ref="A25:A27"/>
    <mergeCell ref="B25:B27"/>
    <mergeCell ref="C25:C27"/>
    <mergeCell ref="D25:D27"/>
    <mergeCell ref="A76:A78"/>
    <mergeCell ref="EA34:EA36"/>
    <mergeCell ref="DX31:DX33"/>
    <mergeCell ref="A34:A36"/>
    <mergeCell ref="B34:B36"/>
    <mergeCell ref="C34:C36"/>
    <mergeCell ref="D34:D36"/>
    <mergeCell ref="E34:E36"/>
    <mergeCell ref="A19:A21"/>
    <mergeCell ref="B19:B21"/>
    <mergeCell ref="C19:C21"/>
    <mergeCell ref="D19:D21"/>
    <mergeCell ref="E19:E21"/>
    <mergeCell ref="EF46:EF48"/>
    <mergeCell ref="EE46:EE48"/>
    <mergeCell ref="ED46:ED48"/>
    <mergeCell ref="EC46:EC48"/>
    <mergeCell ref="EB46:EB48"/>
    <mergeCell ref="EA46:EA48"/>
    <mergeCell ref="DZ31:DZ33"/>
    <mergeCell ref="EC16:EC18"/>
    <mergeCell ref="ED16:ED18"/>
    <mergeCell ref="EE16:EE18"/>
    <mergeCell ref="ED61:ED63"/>
    <mergeCell ref="EE61:EE63"/>
    <mergeCell ref="EF61:EF63"/>
    <mergeCell ref="EC214:EC216"/>
    <mergeCell ref="ED214:ED216"/>
    <mergeCell ref="EE214:EE216"/>
    <mergeCell ref="EF214:EF216"/>
    <mergeCell ref="EC31:EC33"/>
    <mergeCell ref="ED31:ED33"/>
    <mergeCell ref="EE31:EE33"/>
    <mergeCell ref="EF31:EF33"/>
    <mergeCell ref="EF34:EF36"/>
    <mergeCell ref="EE34:EE36"/>
    <mergeCell ref="ED34:ED36"/>
    <mergeCell ref="EF16:EF18"/>
    <mergeCell ref="EF28:EF30"/>
    <mergeCell ref="EE28:EE30"/>
    <mergeCell ref="ED28:ED30"/>
    <mergeCell ref="EC28:EC30"/>
    <mergeCell ref="EF25:EF27"/>
    <mergeCell ref="EC37:EC39"/>
    <mergeCell ref="EF22:EF24"/>
    <mergeCell ref="EA31:EA33"/>
    <mergeCell ref="DX25:DX27"/>
    <mergeCell ref="EE25:EE27"/>
    <mergeCell ref="ED25:ED27"/>
    <mergeCell ref="EE43:EE45"/>
    <mergeCell ref="ED43:ED45"/>
    <mergeCell ref="EC43:EC45"/>
    <mergeCell ref="EB43:EB45"/>
    <mergeCell ref="EA43:EA45"/>
    <mergeCell ref="DZ43:DZ45"/>
    <mergeCell ref="DX43:DX45"/>
    <mergeCell ref="EF19:EF21"/>
    <mergeCell ref="EE19:EE21"/>
    <mergeCell ref="ED19:ED21"/>
    <mergeCell ref="EC19:EC21"/>
    <mergeCell ref="EB19:EB21"/>
    <mergeCell ref="EA19:EA21"/>
    <mergeCell ref="DX19:DX21"/>
    <mergeCell ref="DZ19:DZ21"/>
    <mergeCell ref="EF37:EF39"/>
    <mergeCell ref="ED37:ED39"/>
    <mergeCell ref="EF40:EF42"/>
    <mergeCell ref="EE40:EE42"/>
    <mergeCell ref="ED40:ED42"/>
    <mergeCell ref="DZ34:DZ36"/>
    <mergeCell ref="DX34:DX36"/>
    <mergeCell ref="EF43:EF45"/>
    <mergeCell ref="EA40:EA42"/>
    <mergeCell ref="EB22:EB24"/>
    <mergeCell ref="EA22:EA24"/>
    <mergeCell ref="DZ22:DZ24"/>
    <mergeCell ref="EE22:EE24"/>
    <mergeCell ref="ED49:ED51"/>
    <mergeCell ref="EE49:EE51"/>
    <mergeCell ref="EF49:EF51"/>
    <mergeCell ref="EF58:EF60"/>
    <mergeCell ref="EC58:EC60"/>
    <mergeCell ref="ED58:ED60"/>
    <mergeCell ref="EE58:EE60"/>
    <mergeCell ref="EF52:EF54"/>
    <mergeCell ref="EF55:EF57"/>
    <mergeCell ref="EC49:EC51"/>
    <mergeCell ref="DZ58:DZ60"/>
    <mergeCell ref="EA58:EA60"/>
    <mergeCell ref="EB58:EB60"/>
    <mergeCell ref="EA55:EA57"/>
    <mergeCell ref="DZ55:DZ57"/>
    <mergeCell ref="DZ61:DZ63"/>
    <mergeCell ref="EA61:EA63"/>
    <mergeCell ref="EE55:EE57"/>
    <mergeCell ref="ED55:ED57"/>
    <mergeCell ref="EC55:EC57"/>
    <mergeCell ref="EB55:EB57"/>
    <mergeCell ref="EC52:EC54"/>
    <mergeCell ref="ED52:ED54"/>
    <mergeCell ref="EE52:EE54"/>
    <mergeCell ref="EC61:EC63"/>
    <mergeCell ref="A46:A48"/>
    <mergeCell ref="B46:B48"/>
    <mergeCell ref="E28:E30"/>
    <mergeCell ref="EB28:EB30"/>
    <mergeCell ref="EA28:EA30"/>
    <mergeCell ref="DZ28:DZ30"/>
    <mergeCell ref="DX28:DX30"/>
    <mergeCell ref="EA37:EA39"/>
    <mergeCell ref="DZ37:DZ39"/>
    <mergeCell ref="DX37:DX39"/>
    <mergeCell ref="EE37:EE39"/>
    <mergeCell ref="EC34:EC36"/>
    <mergeCell ref="DZ40:DZ42"/>
    <mergeCell ref="DZ46:DZ48"/>
    <mergeCell ref="DX46:DX48"/>
    <mergeCell ref="DX67:DX69"/>
    <mergeCell ref="EE67:EE69"/>
    <mergeCell ref="ED67:ED69"/>
    <mergeCell ref="EC67:EC69"/>
    <mergeCell ref="DX55:DX57"/>
    <mergeCell ref="EB34:EB36"/>
    <mergeCell ref="DX61:DX63"/>
    <mergeCell ref="C37:C39"/>
    <mergeCell ref="D37:D39"/>
    <mergeCell ref="B31:B33"/>
    <mergeCell ref="C31:C33"/>
    <mergeCell ref="D31:D33"/>
    <mergeCell ref="E31:E33"/>
    <mergeCell ref="C64:C66"/>
    <mergeCell ref="B64:B66"/>
    <mergeCell ref="A37:A39"/>
    <mergeCell ref="EE64:EE66"/>
    <mergeCell ref="DX49:DX51"/>
    <mergeCell ref="DZ49:DZ51"/>
    <mergeCell ref="EA49:EA51"/>
    <mergeCell ref="EB49:EB51"/>
    <mergeCell ref="A55:A57"/>
    <mergeCell ref="B55:B57"/>
    <mergeCell ref="C55:C57"/>
    <mergeCell ref="D55:D57"/>
    <mergeCell ref="E55:E57"/>
    <mergeCell ref="A58:A60"/>
    <mergeCell ref="B58:B60"/>
    <mergeCell ref="C58:C60"/>
    <mergeCell ref="D58:D60"/>
    <mergeCell ref="E58:E60"/>
    <mergeCell ref="C52:C54"/>
    <mergeCell ref="D52:D54"/>
    <mergeCell ref="E52:E54"/>
    <mergeCell ref="DX52:DX54"/>
    <mergeCell ref="DZ52:DZ54"/>
    <mergeCell ref="EA52:EA54"/>
    <mergeCell ref="EB52:EB54"/>
    <mergeCell ref="E49:E51"/>
    <mergeCell ref="A49:A51"/>
    <mergeCell ref="B49:B51"/>
    <mergeCell ref="C49:C51"/>
    <mergeCell ref="D49:D51"/>
    <mergeCell ref="B73:B75"/>
    <mergeCell ref="C73:C75"/>
    <mergeCell ref="D73:D75"/>
    <mergeCell ref="E73:E75"/>
    <mergeCell ref="A67:A69"/>
    <mergeCell ref="B67:B69"/>
    <mergeCell ref="D64:D66"/>
    <mergeCell ref="E61:E63"/>
    <mergeCell ref="D61:D63"/>
    <mergeCell ref="C67:C69"/>
    <mergeCell ref="A73:A75"/>
    <mergeCell ref="E67:E69"/>
    <mergeCell ref="EA73:EA75"/>
    <mergeCell ref="DZ73:DZ75"/>
    <mergeCell ref="DX73:DX75"/>
    <mergeCell ref="A70:A72"/>
    <mergeCell ref="B70:B72"/>
    <mergeCell ref="EA64:EA66"/>
    <mergeCell ref="DZ64:DZ66"/>
    <mergeCell ref="D67:D69"/>
    <mergeCell ref="C70:C72"/>
    <mergeCell ref="D70:D72"/>
    <mergeCell ref="DZ70:DZ72"/>
    <mergeCell ref="DX70:DX72"/>
    <mergeCell ref="A85:A87"/>
    <mergeCell ref="A91:A93"/>
    <mergeCell ref="E94:E96"/>
    <mergeCell ref="A133:A135"/>
    <mergeCell ref="DZ214:DZ216"/>
    <mergeCell ref="DZ160:DZ162"/>
    <mergeCell ref="A214:A216"/>
    <mergeCell ref="DX166:DX168"/>
    <mergeCell ref="A208:A210"/>
    <mergeCell ref="A112:A114"/>
    <mergeCell ref="A100:A102"/>
    <mergeCell ref="B100:B102"/>
    <mergeCell ref="C100:C102"/>
    <mergeCell ref="D100:D102"/>
    <mergeCell ref="A94:A96"/>
    <mergeCell ref="DX109:DX111"/>
    <mergeCell ref="DX103:DX105"/>
    <mergeCell ref="E109:E111"/>
    <mergeCell ref="B91:B93"/>
    <mergeCell ref="C91:C93"/>
    <mergeCell ref="A139:A141"/>
    <mergeCell ref="D94:D96"/>
    <mergeCell ref="DZ94:DZ96"/>
    <mergeCell ref="C106:C108"/>
    <mergeCell ref="DZ115:DZ117"/>
    <mergeCell ref="D118:D120"/>
    <mergeCell ref="A97:A99"/>
    <mergeCell ref="B172:B174"/>
    <mergeCell ref="E169:E171"/>
    <mergeCell ref="E214:E216"/>
    <mergeCell ref="DZ208:DZ210"/>
    <mergeCell ref="DX115:DX117"/>
    <mergeCell ref="A88:A90"/>
    <mergeCell ref="B88:B90"/>
    <mergeCell ref="C88:C90"/>
    <mergeCell ref="D88:D90"/>
    <mergeCell ref="E88:E90"/>
    <mergeCell ref="EF91:EF93"/>
    <mergeCell ref="EF94:EF96"/>
    <mergeCell ref="EA106:EA108"/>
    <mergeCell ref="ED127:ED129"/>
    <mergeCell ref="E97:E99"/>
    <mergeCell ref="B97:B99"/>
    <mergeCell ref="B130:B132"/>
    <mergeCell ref="C130:C132"/>
    <mergeCell ref="B118:B120"/>
    <mergeCell ref="C154:C156"/>
    <mergeCell ref="D154:D156"/>
    <mergeCell ref="D106:D108"/>
    <mergeCell ref="DX94:DX96"/>
    <mergeCell ref="C94:C96"/>
    <mergeCell ref="B148:B150"/>
    <mergeCell ref="C148:C150"/>
    <mergeCell ref="D148:D150"/>
    <mergeCell ref="E148:E150"/>
    <mergeCell ref="E151:E153"/>
    <mergeCell ref="DX106:DX108"/>
    <mergeCell ref="DZ106:DZ108"/>
    <mergeCell ref="EA142:EA144"/>
    <mergeCell ref="EA136:EA138"/>
    <mergeCell ref="DZ139:DZ141"/>
    <mergeCell ref="EA115:EA117"/>
    <mergeCell ref="EA145:EA147"/>
    <mergeCell ref="B142:B144"/>
    <mergeCell ref="EB67:EB69"/>
    <mergeCell ref="EA67:EA69"/>
    <mergeCell ref="DZ67:DZ69"/>
    <mergeCell ref="EB61:EB63"/>
    <mergeCell ref="E130:E132"/>
    <mergeCell ref="DX142:DX144"/>
    <mergeCell ref="E142:E144"/>
    <mergeCell ref="E121:E123"/>
    <mergeCell ref="E103:E105"/>
    <mergeCell ref="EA118:EA120"/>
    <mergeCell ref="DZ133:DZ135"/>
    <mergeCell ref="EB91:EB93"/>
    <mergeCell ref="EE112:EE114"/>
    <mergeCell ref="ED112:ED114"/>
    <mergeCell ref="E112:E114"/>
    <mergeCell ref="ED139:ED141"/>
    <mergeCell ref="EC139:EC141"/>
    <mergeCell ref="E115:E117"/>
    <mergeCell ref="DZ136:DZ138"/>
    <mergeCell ref="DX136:DX138"/>
    <mergeCell ref="EE139:EE141"/>
    <mergeCell ref="E133:E135"/>
    <mergeCell ref="E70:E72"/>
    <mergeCell ref="DX79:DX81"/>
    <mergeCell ref="DX139:DX141"/>
    <mergeCell ref="E136:E138"/>
    <mergeCell ref="EE70:EE72"/>
    <mergeCell ref="EC73:EC75"/>
    <mergeCell ref="EB85:EB87"/>
    <mergeCell ref="EB94:EB96"/>
    <mergeCell ref="EE100:EE102"/>
    <mergeCell ref="EB97:EB99"/>
    <mergeCell ref="EF64:EF66"/>
    <mergeCell ref="ED64:ED66"/>
    <mergeCell ref="EC64:EC66"/>
    <mergeCell ref="EB64:EB66"/>
    <mergeCell ref="EF67:EF69"/>
    <mergeCell ref="DX76:DX78"/>
    <mergeCell ref="DZ76:DZ78"/>
    <mergeCell ref="E91:E93"/>
    <mergeCell ref="EE118:EE120"/>
    <mergeCell ref="EF142:EF144"/>
    <mergeCell ref="EE142:EE144"/>
    <mergeCell ref="ED142:ED144"/>
    <mergeCell ref="EB106:EB108"/>
    <mergeCell ref="EF112:EF114"/>
    <mergeCell ref="EE109:EE111"/>
    <mergeCell ref="EB157:EB159"/>
    <mergeCell ref="B157:B159"/>
    <mergeCell ref="C157:C159"/>
    <mergeCell ref="D157:D159"/>
    <mergeCell ref="EF148:EF150"/>
    <mergeCell ref="EE148:EE150"/>
    <mergeCell ref="EC118:EC120"/>
    <mergeCell ref="EB118:EB120"/>
    <mergeCell ref="D130:D132"/>
    <mergeCell ref="ED157:ED159"/>
    <mergeCell ref="EC157:EC159"/>
    <mergeCell ref="EF145:EF147"/>
    <mergeCell ref="EF157:EF159"/>
    <mergeCell ref="EF109:EF111"/>
    <mergeCell ref="ED109:ED111"/>
    <mergeCell ref="E106:E108"/>
    <mergeCell ref="EB136:EB138"/>
    <mergeCell ref="A115:A117"/>
    <mergeCell ref="EC229:EC231"/>
    <mergeCell ref="DX127:DX129"/>
    <mergeCell ref="DZ127:DZ129"/>
    <mergeCell ref="EA127:EA129"/>
    <mergeCell ref="EB127:EB129"/>
    <mergeCell ref="EC127:EC129"/>
    <mergeCell ref="A217:A219"/>
    <mergeCell ref="D211:D213"/>
    <mergeCell ref="E211:E213"/>
    <mergeCell ref="A211:A213"/>
    <mergeCell ref="B211:B213"/>
    <mergeCell ref="C211:C213"/>
    <mergeCell ref="E154:E156"/>
    <mergeCell ref="DX154:DX156"/>
    <mergeCell ref="A166:A168"/>
    <mergeCell ref="A226:A228"/>
    <mergeCell ref="DX130:DX132"/>
    <mergeCell ref="EA139:EA141"/>
    <mergeCell ref="D145:D147"/>
    <mergeCell ref="E145:E147"/>
    <mergeCell ref="E127:E129"/>
    <mergeCell ref="E184:E186"/>
    <mergeCell ref="B184:B186"/>
    <mergeCell ref="C184:C186"/>
    <mergeCell ref="C172:C174"/>
    <mergeCell ref="EC145:EC147"/>
    <mergeCell ref="DZ169:DZ171"/>
    <mergeCell ref="DZ145:DZ147"/>
    <mergeCell ref="A151:A153"/>
    <mergeCell ref="EC142:EC144"/>
    <mergeCell ref="C166:C168"/>
    <mergeCell ref="A169:A171"/>
    <mergeCell ref="DX202:DX204"/>
    <mergeCell ref="EB202:EB204"/>
    <mergeCell ref="EA202:EA204"/>
    <mergeCell ref="D184:D186"/>
    <mergeCell ref="A184:A186"/>
    <mergeCell ref="EC172:EC174"/>
    <mergeCell ref="A142:A144"/>
    <mergeCell ref="E178:E180"/>
    <mergeCell ref="A181:A183"/>
    <mergeCell ref="DX172:DX174"/>
    <mergeCell ref="B202:B204"/>
    <mergeCell ref="C202:C204"/>
    <mergeCell ref="E202:E204"/>
    <mergeCell ref="DZ202:DZ204"/>
    <mergeCell ref="DX145:DX147"/>
    <mergeCell ref="EB145:EB147"/>
    <mergeCell ref="B166:B168"/>
    <mergeCell ref="E166:E168"/>
    <mergeCell ref="DX181:DX183"/>
    <mergeCell ref="C181:C183"/>
    <mergeCell ref="D181:D183"/>
    <mergeCell ref="A199:A201"/>
    <mergeCell ref="B160:B162"/>
    <mergeCell ref="EB154:EB156"/>
    <mergeCell ref="EC154:EC156"/>
    <mergeCell ref="A157:A159"/>
    <mergeCell ref="A148:A150"/>
    <mergeCell ref="C142:C144"/>
    <mergeCell ref="DZ142:DZ144"/>
    <mergeCell ref="B154:B156"/>
    <mergeCell ref="DZ166:DZ168"/>
    <mergeCell ref="A127:A129"/>
    <mergeCell ref="B127:B129"/>
    <mergeCell ref="B136:B138"/>
    <mergeCell ref="A130:A132"/>
    <mergeCell ref="C127:C129"/>
    <mergeCell ref="DZ121:DZ123"/>
    <mergeCell ref="A145:A147"/>
    <mergeCell ref="A121:A123"/>
    <mergeCell ref="A154:A156"/>
    <mergeCell ref="A136:A138"/>
    <mergeCell ref="B151:B153"/>
    <mergeCell ref="EA217:EA219"/>
    <mergeCell ref="DZ217:DZ219"/>
    <mergeCell ref="DX157:DX159"/>
    <mergeCell ref="DZ157:DZ159"/>
    <mergeCell ref="EA157:EA159"/>
    <mergeCell ref="D172:D174"/>
    <mergeCell ref="E172:E174"/>
    <mergeCell ref="B175:B177"/>
    <mergeCell ref="C175:C177"/>
    <mergeCell ref="B169:B171"/>
    <mergeCell ref="C169:C171"/>
    <mergeCell ref="D169:D171"/>
    <mergeCell ref="DX193:DX195"/>
    <mergeCell ref="D178:D180"/>
    <mergeCell ref="B178:B180"/>
    <mergeCell ref="C178:C180"/>
    <mergeCell ref="DX151:DX153"/>
    <mergeCell ref="D139:D141"/>
    <mergeCell ref="E139:E141"/>
    <mergeCell ref="B139:B141"/>
    <mergeCell ref="B133:B135"/>
    <mergeCell ref="D166:D168"/>
    <mergeCell ref="DX148:DX150"/>
    <mergeCell ref="EB142:EB144"/>
    <mergeCell ref="B281:B283"/>
    <mergeCell ref="C281:C283"/>
    <mergeCell ref="D281:D283"/>
    <mergeCell ref="B278:B280"/>
    <mergeCell ref="E278:E280"/>
    <mergeCell ref="E272:E274"/>
    <mergeCell ref="DX278:DX280"/>
    <mergeCell ref="C160:C162"/>
    <mergeCell ref="D160:D162"/>
    <mergeCell ref="D142:D144"/>
    <mergeCell ref="DX184:DX186"/>
    <mergeCell ref="DX223:DX225"/>
    <mergeCell ref="E229:E231"/>
    <mergeCell ref="DX229:DX231"/>
    <mergeCell ref="B181:B183"/>
    <mergeCell ref="C151:C153"/>
    <mergeCell ref="D151:D153"/>
    <mergeCell ref="DX187:DX189"/>
    <mergeCell ref="DZ187:DZ189"/>
    <mergeCell ref="C241:C243"/>
    <mergeCell ref="E245:E247"/>
    <mergeCell ref="C245:C247"/>
    <mergeCell ref="D245:D247"/>
    <mergeCell ref="E157:E159"/>
    <mergeCell ref="EA148:EA150"/>
    <mergeCell ref="DZ148:DZ150"/>
    <mergeCell ref="C220:C222"/>
    <mergeCell ref="DX214:DX216"/>
    <mergeCell ref="DX208:DX210"/>
    <mergeCell ref="DZ172:DZ174"/>
    <mergeCell ref="DX175:DX177"/>
    <mergeCell ref="EA172:EA174"/>
    <mergeCell ref="B245:B247"/>
    <mergeCell ref="EB178:EB180"/>
    <mergeCell ref="EA178:EA180"/>
    <mergeCell ref="EB175:EB177"/>
    <mergeCell ref="EB181:EB183"/>
    <mergeCell ref="DZ232:DZ234"/>
    <mergeCell ref="EA232:EA234"/>
    <mergeCell ref="EB232:EB234"/>
    <mergeCell ref="EB220:EB222"/>
    <mergeCell ref="C208:C210"/>
    <mergeCell ref="D208:D210"/>
    <mergeCell ref="E208:E210"/>
    <mergeCell ref="DX178:DX180"/>
    <mergeCell ref="A202:A204"/>
    <mergeCell ref="D217:D219"/>
    <mergeCell ref="E217:E219"/>
    <mergeCell ref="DZ211:DZ213"/>
    <mergeCell ref="B208:B210"/>
    <mergeCell ref="EA223:EA225"/>
    <mergeCell ref="EB172:EB174"/>
    <mergeCell ref="E193:E195"/>
    <mergeCell ref="C235:C237"/>
    <mergeCell ref="B199:B201"/>
    <mergeCell ref="C199:C201"/>
    <mergeCell ref="D199:D201"/>
    <mergeCell ref="B220:B222"/>
    <mergeCell ref="B214:B216"/>
    <mergeCell ref="C214:C216"/>
    <mergeCell ref="B217:B219"/>
    <mergeCell ref="C263:C265"/>
    <mergeCell ref="DZ269:DZ271"/>
    <mergeCell ref="DZ266:DZ268"/>
    <mergeCell ref="A248:A250"/>
    <mergeCell ref="EA241:EA243"/>
    <mergeCell ref="ED220:ED222"/>
    <mergeCell ref="EC220:EC222"/>
    <mergeCell ref="A241:A243"/>
    <mergeCell ref="A245:A247"/>
    <mergeCell ref="EB223:EB225"/>
    <mergeCell ref="E223:E225"/>
    <mergeCell ref="DZ226:DZ228"/>
    <mergeCell ref="DZ223:DZ225"/>
    <mergeCell ref="D269:D271"/>
    <mergeCell ref="E269:E271"/>
    <mergeCell ref="DX260:DX262"/>
    <mergeCell ref="DX245:DX247"/>
    <mergeCell ref="D263:D265"/>
    <mergeCell ref="DX254:DX256"/>
    <mergeCell ref="DX269:DX271"/>
    <mergeCell ref="C269:C271"/>
    <mergeCell ref="C266:C268"/>
    <mergeCell ref="DX263:DX265"/>
    <mergeCell ref="C223:C225"/>
    <mergeCell ref="D220:D222"/>
    <mergeCell ref="E220:E222"/>
    <mergeCell ref="EA257:EA259"/>
    <mergeCell ref="ED235:ED237"/>
    <mergeCell ref="EB235:EB237"/>
    <mergeCell ref="EA235:EA237"/>
    <mergeCell ref="A263:A265"/>
    <mergeCell ref="C226:C228"/>
    <mergeCell ref="EA196:EA198"/>
    <mergeCell ref="EB196:EB198"/>
    <mergeCell ref="EE251:EE253"/>
    <mergeCell ref="EA205:EA207"/>
    <mergeCell ref="EF235:EF237"/>
    <mergeCell ref="DX211:DX213"/>
    <mergeCell ref="EE275:EE277"/>
    <mergeCell ref="EC260:EC262"/>
    <mergeCell ref="E263:E265"/>
    <mergeCell ref="ED275:ED277"/>
    <mergeCell ref="D272:D274"/>
    <mergeCell ref="EC269:EC271"/>
    <mergeCell ref="B272:B274"/>
    <mergeCell ref="C272:C274"/>
    <mergeCell ref="DX266:DX268"/>
    <mergeCell ref="B260:B262"/>
    <mergeCell ref="C260:C262"/>
    <mergeCell ref="D260:D262"/>
    <mergeCell ref="E260:E262"/>
    <mergeCell ref="ED269:ED271"/>
    <mergeCell ref="DX275:DX277"/>
    <mergeCell ref="DZ275:DZ277"/>
    <mergeCell ref="EE272:EE274"/>
    <mergeCell ref="ED272:ED274"/>
    <mergeCell ref="EC266:EC268"/>
    <mergeCell ref="ED266:ED268"/>
    <mergeCell ref="B275:B277"/>
    <mergeCell ref="DZ272:DZ274"/>
    <mergeCell ref="B269:B271"/>
    <mergeCell ref="B266:B268"/>
    <mergeCell ref="C275:C277"/>
    <mergeCell ref="EA266:EA268"/>
    <mergeCell ref="DX257:DX259"/>
    <mergeCell ref="DZ245:DZ247"/>
    <mergeCell ref="EB257:EB259"/>
    <mergeCell ref="EC254:EC256"/>
    <mergeCell ref="DZ248:DZ250"/>
    <mergeCell ref="EF184:EF186"/>
    <mergeCell ref="EB187:EB189"/>
    <mergeCell ref="EC187:EC189"/>
    <mergeCell ref="ED187:ED189"/>
    <mergeCell ref="EE187:EE189"/>
    <mergeCell ref="EF187:EF189"/>
    <mergeCell ref="DZ178:DZ180"/>
    <mergeCell ref="EA181:EA183"/>
    <mergeCell ref="DZ181:DZ183"/>
    <mergeCell ref="DZ238:DZ240"/>
    <mergeCell ref="EA187:EA189"/>
    <mergeCell ref="EA263:EA265"/>
    <mergeCell ref="EB263:EB265"/>
    <mergeCell ref="EC226:EC228"/>
    <mergeCell ref="EB226:EB228"/>
    <mergeCell ref="EC190:EC192"/>
    <mergeCell ref="EC181:EC183"/>
    <mergeCell ref="EF181:EF183"/>
    <mergeCell ref="EC232:EC234"/>
    <mergeCell ref="DX235:DX237"/>
    <mergeCell ref="EA238:EA240"/>
    <mergeCell ref="DX220:DX222"/>
    <mergeCell ref="ED190:ED192"/>
    <mergeCell ref="EE190:EE192"/>
    <mergeCell ref="EF190:EF192"/>
    <mergeCell ref="DX196:DX198"/>
    <mergeCell ref="DZ196:DZ198"/>
    <mergeCell ref="EF266:EF268"/>
    <mergeCell ref="EC263:EC265"/>
    <mergeCell ref="EF260:EF262"/>
    <mergeCell ref="EE260:EE262"/>
    <mergeCell ref="ED260:ED262"/>
    <mergeCell ref="DZ254:DZ256"/>
    <mergeCell ref="DZ235:DZ237"/>
    <mergeCell ref="DZ229:DZ231"/>
    <mergeCell ref="EA229:EA231"/>
    <mergeCell ref="EE245:EE247"/>
    <mergeCell ref="ED202:ED204"/>
    <mergeCell ref="EE248:EE250"/>
    <mergeCell ref="ED248:ED250"/>
    <mergeCell ref="EE235:EE237"/>
    <mergeCell ref="EB229:EB231"/>
    <mergeCell ref="EE254:EE256"/>
    <mergeCell ref="ED254:ED256"/>
    <mergeCell ref="ED245:ED247"/>
    <mergeCell ref="ED232:ED234"/>
    <mergeCell ref="EE266:EE268"/>
    <mergeCell ref="EF254:EF256"/>
    <mergeCell ref="EE202:EE204"/>
    <mergeCell ref="EA260:EA262"/>
    <mergeCell ref="EB266:EB268"/>
    <mergeCell ref="EB260:EB262"/>
    <mergeCell ref="EC241:EC243"/>
    <mergeCell ref="DZ241:DZ243"/>
    <mergeCell ref="EC235:EC237"/>
    <mergeCell ref="EB205:EB207"/>
    <mergeCell ref="EE300:EE302"/>
    <mergeCell ref="DX300:DX302"/>
    <mergeCell ref="ED145:ED147"/>
    <mergeCell ref="EE145:EE147"/>
    <mergeCell ref="EF151:EF153"/>
    <mergeCell ref="EE151:EE153"/>
    <mergeCell ref="EF217:EF219"/>
    <mergeCell ref="EE217:EE219"/>
    <mergeCell ref="ED217:ED219"/>
    <mergeCell ref="EC217:EC219"/>
    <mergeCell ref="EB217:EB219"/>
    <mergeCell ref="EB184:EB186"/>
    <mergeCell ref="EA184:EA186"/>
    <mergeCell ref="EA275:EA277"/>
    <mergeCell ref="DX248:DX250"/>
    <mergeCell ref="DZ260:DZ262"/>
    <mergeCell ref="DX272:DX274"/>
    <mergeCell ref="EC257:EC259"/>
    <mergeCell ref="EB269:EB271"/>
    <mergeCell ref="EE263:EE265"/>
    <mergeCell ref="EE278:EE280"/>
    <mergeCell ref="EE257:EE259"/>
    <mergeCell ref="ED257:ED259"/>
    <mergeCell ref="EB214:EB216"/>
    <mergeCell ref="EC223:EC225"/>
    <mergeCell ref="EE220:EE222"/>
    <mergeCell ref="EA214:EA216"/>
    <mergeCell ref="ED223:ED225"/>
    <mergeCell ref="EE223:EE225"/>
    <mergeCell ref="EC202:EC204"/>
    <mergeCell ref="EF248:EF250"/>
    <mergeCell ref="EF223:EF225"/>
    <mergeCell ref="EF272:EF274"/>
    <mergeCell ref="EF241:EF243"/>
    <mergeCell ref="EE241:EE243"/>
    <mergeCell ref="ED241:ED243"/>
    <mergeCell ref="EC184:EC186"/>
    <mergeCell ref="ED184:ED186"/>
    <mergeCell ref="EE232:EE234"/>
    <mergeCell ref="EA175:EA177"/>
    <mergeCell ref="EF245:EF247"/>
    <mergeCell ref="EB245:EB247"/>
    <mergeCell ref="EB248:EB250"/>
    <mergeCell ref="EA248:EA250"/>
    <mergeCell ref="EC245:EC247"/>
    <mergeCell ref="EC178:EC180"/>
    <mergeCell ref="EE181:EE183"/>
    <mergeCell ref="ED263:ED265"/>
    <mergeCell ref="EE269:EE271"/>
    <mergeCell ref="ED181:ED183"/>
    <mergeCell ref="ED238:ED240"/>
    <mergeCell ref="EE238:EE240"/>
    <mergeCell ref="EF251:EF253"/>
    <mergeCell ref="ED251:ED253"/>
    <mergeCell ref="EF257:EF259"/>
    <mergeCell ref="EE226:EE228"/>
    <mergeCell ref="ED226:ED228"/>
    <mergeCell ref="EA272:EA274"/>
    <mergeCell ref="EA269:EA271"/>
    <mergeCell ref="EC272:EC274"/>
    <mergeCell ref="EB272:EB274"/>
    <mergeCell ref="EB241:EB243"/>
    <mergeCell ref="EB254:EB256"/>
    <mergeCell ref="EA254:EA256"/>
    <mergeCell ref="EF297:EF299"/>
    <mergeCell ref="ED172:ED174"/>
    <mergeCell ref="EC238:EC240"/>
    <mergeCell ref="D284:D286"/>
    <mergeCell ref="E284:E286"/>
    <mergeCell ref="DX251:DX253"/>
    <mergeCell ref="EA294:EA296"/>
    <mergeCell ref="DZ220:DZ222"/>
    <mergeCell ref="EA287:EA289"/>
    <mergeCell ref="ED294:ED296"/>
    <mergeCell ref="DZ184:DZ186"/>
    <mergeCell ref="EF275:EF277"/>
    <mergeCell ref="DZ257:DZ259"/>
    <mergeCell ref="DZ175:DZ177"/>
    <mergeCell ref="DZ263:DZ265"/>
    <mergeCell ref="DZ284:DZ286"/>
    <mergeCell ref="EB251:EB253"/>
    <mergeCell ref="EA251:EA253"/>
    <mergeCell ref="DZ251:DZ253"/>
    <mergeCell ref="EA284:EA286"/>
    <mergeCell ref="D290:D292"/>
    <mergeCell ref="E290:E292"/>
    <mergeCell ref="EB281:EB283"/>
    <mergeCell ref="EB294:EB296"/>
    <mergeCell ref="EC294:EC296"/>
    <mergeCell ref="EA220:EA222"/>
    <mergeCell ref="DX297:DX299"/>
    <mergeCell ref="DX284:DX286"/>
    <mergeCell ref="DX290:DX292"/>
    <mergeCell ref="D278:D280"/>
    <mergeCell ref="E275:E277"/>
    <mergeCell ref="DX238:DX240"/>
    <mergeCell ref="EA321:EA323"/>
    <mergeCell ref="DX318:DX320"/>
    <mergeCell ref="DZ318:DZ320"/>
    <mergeCell ref="B312:B314"/>
    <mergeCell ref="C312:C314"/>
    <mergeCell ref="D312:D314"/>
    <mergeCell ref="E312:E314"/>
    <mergeCell ref="A315:A317"/>
    <mergeCell ref="DX312:DX314"/>
    <mergeCell ref="DX315:DX317"/>
    <mergeCell ref="DZ315:DZ317"/>
    <mergeCell ref="EA315:EA317"/>
    <mergeCell ref="EA318:EA320"/>
    <mergeCell ref="A321:A323"/>
    <mergeCell ref="A303:A305"/>
    <mergeCell ref="B303:B305"/>
    <mergeCell ref="C303:C305"/>
    <mergeCell ref="D303:D305"/>
    <mergeCell ref="E303:E305"/>
    <mergeCell ref="A306:A308"/>
    <mergeCell ref="B306:B308"/>
    <mergeCell ref="C306:C308"/>
    <mergeCell ref="D306:D308"/>
    <mergeCell ref="DZ312:DZ314"/>
    <mergeCell ref="EB306:EB308"/>
    <mergeCell ref="EA306:EA308"/>
    <mergeCell ref="DZ306:DZ308"/>
    <mergeCell ref="EB303:EB305"/>
    <mergeCell ref="EA303:EA305"/>
    <mergeCell ref="DZ303:DZ305"/>
    <mergeCell ref="A309:A311"/>
    <mergeCell ref="B309:B311"/>
    <mergeCell ref="DX306:DX308"/>
    <mergeCell ref="DX303:DX305"/>
    <mergeCell ref="E306:E308"/>
    <mergeCell ref="EA309:EA311"/>
    <mergeCell ref="DZ309:DZ311"/>
    <mergeCell ref="DX309:DX311"/>
    <mergeCell ref="C309:C311"/>
    <mergeCell ref="D309:D311"/>
    <mergeCell ref="E309:E311"/>
    <mergeCell ref="A287:A289"/>
    <mergeCell ref="C294:C296"/>
    <mergeCell ref="EB321:EB323"/>
    <mergeCell ref="EC321:EC323"/>
    <mergeCell ref="ED321:ED323"/>
    <mergeCell ref="EE321:EE323"/>
    <mergeCell ref="EC318:EC320"/>
    <mergeCell ref="ED318:ED320"/>
    <mergeCell ref="EB315:EB317"/>
    <mergeCell ref="EF139:EF141"/>
    <mergeCell ref="EB151:EB153"/>
    <mergeCell ref="EA151:EA153"/>
    <mergeCell ref="E287:E289"/>
    <mergeCell ref="EE294:EE296"/>
    <mergeCell ref="EF294:EF296"/>
    <mergeCell ref="EF238:EF240"/>
    <mergeCell ref="DZ154:DZ156"/>
    <mergeCell ref="EA154:EA156"/>
    <mergeCell ref="EF287:EF289"/>
    <mergeCell ref="EF202:EF204"/>
    <mergeCell ref="EF220:EF222"/>
    <mergeCell ref="ED290:ED292"/>
    <mergeCell ref="EC290:EC292"/>
    <mergeCell ref="EC251:EC253"/>
    <mergeCell ref="EF290:EF292"/>
    <mergeCell ref="EF269:EF271"/>
    <mergeCell ref="DZ294:DZ296"/>
    <mergeCell ref="EE184:EE186"/>
    <mergeCell ref="EE178:EE180"/>
    <mergeCell ref="ED178:ED180"/>
    <mergeCell ref="EC315:EC317"/>
    <mergeCell ref="ED312:ED314"/>
    <mergeCell ref="EC312:EC314"/>
    <mergeCell ref="DX217:DX219"/>
    <mergeCell ref="EB318:EB320"/>
    <mergeCell ref="EE315:EE317"/>
    <mergeCell ref="ED315:ED317"/>
    <mergeCell ref="DX82:DX84"/>
    <mergeCell ref="DZ82:DZ84"/>
    <mergeCell ref="EA82:EA84"/>
    <mergeCell ref="EB82:EB84"/>
    <mergeCell ref="EC82:EC84"/>
    <mergeCell ref="ED82:ED84"/>
    <mergeCell ref="EE82:EE84"/>
    <mergeCell ref="EF82:EF84"/>
    <mergeCell ref="EE303:EE305"/>
    <mergeCell ref="EA97:EA99"/>
    <mergeCell ref="DZ97:DZ99"/>
    <mergeCell ref="DX97:DX99"/>
    <mergeCell ref="EB139:EB141"/>
    <mergeCell ref="EF121:EF123"/>
    <mergeCell ref="EA281:EA283"/>
    <mergeCell ref="DZ281:DZ283"/>
    <mergeCell ref="DX281:DX283"/>
    <mergeCell ref="EE287:EE289"/>
    <mergeCell ref="ED287:ED289"/>
    <mergeCell ref="EC287:EC289"/>
    <mergeCell ref="DZ109:DZ111"/>
    <mergeCell ref="DZ151:DZ153"/>
    <mergeCell ref="EF232:EF234"/>
    <mergeCell ref="EF172:EF174"/>
    <mergeCell ref="EC151:EC153"/>
    <mergeCell ref="ED151:ED153"/>
    <mergeCell ref="EF263:EF265"/>
    <mergeCell ref="EF278:EF280"/>
    <mergeCell ref="A324:A326"/>
    <mergeCell ref="B324:B326"/>
    <mergeCell ref="C324:C326"/>
    <mergeCell ref="D324:D326"/>
    <mergeCell ref="E324:E326"/>
    <mergeCell ref="DX324:DX326"/>
    <mergeCell ref="DZ324:DZ326"/>
    <mergeCell ref="A109:A111"/>
    <mergeCell ref="EA324:EA326"/>
    <mergeCell ref="A106:A108"/>
    <mergeCell ref="B106:B108"/>
    <mergeCell ref="EC297:EC299"/>
    <mergeCell ref="EB297:EB299"/>
    <mergeCell ref="EA297:EA299"/>
    <mergeCell ref="DZ297:DZ299"/>
    <mergeCell ref="EF318:EF320"/>
    <mergeCell ref="DX321:DX323"/>
    <mergeCell ref="EF321:EF323"/>
    <mergeCell ref="EC309:EC311"/>
    <mergeCell ref="B109:B111"/>
    <mergeCell ref="DX287:DX289"/>
    <mergeCell ref="EB284:EB286"/>
    <mergeCell ref="E281:E283"/>
    <mergeCell ref="DX133:DX135"/>
    <mergeCell ref="EB312:EB314"/>
    <mergeCell ref="EF315:EF317"/>
    <mergeCell ref="EF309:EF311"/>
    <mergeCell ref="EE309:EE311"/>
    <mergeCell ref="ED309:ED311"/>
    <mergeCell ref="EE318:EE320"/>
    <mergeCell ref="EA312:EA314"/>
    <mergeCell ref="EI16:EI18"/>
    <mergeCell ref="EI19:EI21"/>
    <mergeCell ref="EI22:EI24"/>
    <mergeCell ref="EI25:EI27"/>
    <mergeCell ref="EI28:EI30"/>
    <mergeCell ref="EI31:EI33"/>
    <mergeCell ref="EI34:EI36"/>
    <mergeCell ref="EI37:EI39"/>
    <mergeCell ref="EI40:EI42"/>
    <mergeCell ref="EI43:EI45"/>
    <mergeCell ref="EI46:EI48"/>
    <mergeCell ref="EI49:EI51"/>
    <mergeCell ref="EI52:EI54"/>
    <mergeCell ref="EI55:EI57"/>
    <mergeCell ref="EI58:EI60"/>
    <mergeCell ref="EI61:EI63"/>
    <mergeCell ref="EI64:EI66"/>
    <mergeCell ref="EJ73:EJ75"/>
    <mergeCell ref="EJ76:EJ78"/>
    <mergeCell ref="EJ79:EJ81"/>
    <mergeCell ref="EJ82:EJ84"/>
    <mergeCell ref="EI238:EI240"/>
    <mergeCell ref="EI241:EI243"/>
    <mergeCell ref="EI139:EI141"/>
    <mergeCell ref="EI151:EI153"/>
    <mergeCell ref="EI115:EI117"/>
    <mergeCell ref="EI334:EI336"/>
    <mergeCell ref="EI337:EI339"/>
    <mergeCell ref="EI340:EI342"/>
    <mergeCell ref="EB324:EB326"/>
    <mergeCell ref="EC324:EC326"/>
    <mergeCell ref="ED324:ED326"/>
    <mergeCell ref="EI67:EI69"/>
    <mergeCell ref="EI70:EI72"/>
    <mergeCell ref="EI73:EI75"/>
    <mergeCell ref="EI76:EI78"/>
    <mergeCell ref="EI79:EI81"/>
    <mergeCell ref="EI82:EI84"/>
    <mergeCell ref="EI85:EI87"/>
    <mergeCell ref="EI88:EI90"/>
    <mergeCell ref="EI91:EI93"/>
    <mergeCell ref="EI94:EI96"/>
    <mergeCell ref="EI136:EI138"/>
    <mergeCell ref="EI148:EI150"/>
    <mergeCell ref="EE324:EE326"/>
    <mergeCell ref="EF324:EF326"/>
    <mergeCell ref="EB309:EB311"/>
    <mergeCell ref="EF312:EF314"/>
    <mergeCell ref="EE312:EE314"/>
    <mergeCell ref="EJ193:EJ195"/>
    <mergeCell ref="EJ196:EJ198"/>
    <mergeCell ref="EJ199:EJ201"/>
    <mergeCell ref="EJ205:EJ207"/>
    <mergeCell ref="EJ16:EJ18"/>
    <mergeCell ref="EJ19:EJ21"/>
    <mergeCell ref="EJ22:EJ24"/>
    <mergeCell ref="EJ25:EJ27"/>
    <mergeCell ref="EJ28:EJ30"/>
    <mergeCell ref="EJ31:EJ33"/>
    <mergeCell ref="EJ34:EJ36"/>
    <mergeCell ref="EJ37:EJ39"/>
    <mergeCell ref="EJ40:EJ42"/>
    <mergeCell ref="EJ43:EJ45"/>
    <mergeCell ref="EJ46:EJ48"/>
    <mergeCell ref="EJ49:EJ51"/>
    <mergeCell ref="EJ52:EJ54"/>
    <mergeCell ref="EJ55:EJ57"/>
    <mergeCell ref="EJ58:EJ60"/>
    <mergeCell ref="EJ61:EJ63"/>
    <mergeCell ref="EJ145:EJ147"/>
    <mergeCell ref="EJ112:EJ114"/>
    <mergeCell ref="EJ100:EJ102"/>
    <mergeCell ref="EJ103:EJ105"/>
    <mergeCell ref="EJ106:EJ108"/>
    <mergeCell ref="EJ139:EJ141"/>
    <mergeCell ref="EJ115:EJ117"/>
    <mergeCell ref="EJ118:EJ120"/>
    <mergeCell ref="EJ142:EJ144"/>
    <mergeCell ref="EJ64:EJ66"/>
    <mergeCell ref="EJ67:EJ69"/>
    <mergeCell ref="EJ70:EJ72"/>
    <mergeCell ref="EJ370:EJ372"/>
    <mergeCell ref="EJ287:EJ289"/>
    <mergeCell ref="EI214:EI216"/>
    <mergeCell ref="EI217:EI219"/>
    <mergeCell ref="EJ85:EJ87"/>
    <mergeCell ref="EI367:EI369"/>
    <mergeCell ref="EJ202:EJ204"/>
    <mergeCell ref="EJ245:EJ247"/>
    <mergeCell ref="EJ278:EJ280"/>
    <mergeCell ref="EJ248:EJ250"/>
    <mergeCell ref="EJ251:EJ253"/>
    <mergeCell ref="EI294:EI296"/>
    <mergeCell ref="EI358:EI360"/>
    <mergeCell ref="EI361:EI363"/>
    <mergeCell ref="EI364:EI366"/>
    <mergeCell ref="EI193:EI195"/>
    <mergeCell ref="EI196:EI198"/>
    <mergeCell ref="EI199:EI201"/>
    <mergeCell ref="EI205:EI207"/>
    <mergeCell ref="EI343:EI345"/>
    <mergeCell ref="EJ157:EJ159"/>
    <mergeCell ref="EJ88:EJ90"/>
    <mergeCell ref="EJ91:EJ93"/>
    <mergeCell ref="EJ94:EJ96"/>
    <mergeCell ref="EJ136:EJ138"/>
    <mergeCell ref="EJ148:EJ150"/>
    <mergeCell ref="EJ340:EJ342"/>
    <mergeCell ref="EJ109:EJ111"/>
    <mergeCell ref="EJ214:EJ216"/>
    <mergeCell ref="EJ346:EJ348"/>
    <mergeCell ref="EJ349:EJ351"/>
    <mergeCell ref="EJ190:EJ192"/>
    <mergeCell ref="EJ130:EJ132"/>
    <mergeCell ref="EJ373:EJ375"/>
    <mergeCell ref="EJ178:EJ180"/>
    <mergeCell ref="EJ151:EJ153"/>
    <mergeCell ref="EJ352:EJ354"/>
    <mergeCell ref="EJ355:EJ357"/>
    <mergeCell ref="EJ358:EJ360"/>
    <mergeCell ref="EJ361:EJ363"/>
    <mergeCell ref="EJ364:EJ366"/>
    <mergeCell ref="EJ367:EJ369"/>
    <mergeCell ref="EJ376:EJ378"/>
    <mergeCell ref="EJ379:EJ381"/>
    <mergeCell ref="EI370:EI372"/>
    <mergeCell ref="EI373:EI375"/>
    <mergeCell ref="EI376:EI378"/>
    <mergeCell ref="EI379:EI381"/>
    <mergeCell ref="EJ272:EJ274"/>
    <mergeCell ref="EJ275:EJ277"/>
    <mergeCell ref="EI154:EI156"/>
    <mergeCell ref="EJ154:EJ156"/>
    <mergeCell ref="EI172:EI174"/>
    <mergeCell ref="EI175:EI177"/>
    <mergeCell ref="EI178:EI180"/>
    <mergeCell ref="EI181:EI183"/>
    <mergeCell ref="EI184:EI186"/>
    <mergeCell ref="EI202:EI204"/>
    <mergeCell ref="EI245:EI247"/>
    <mergeCell ref="EI248:EI250"/>
    <mergeCell ref="EI251:EI253"/>
    <mergeCell ref="EJ172:EJ174"/>
    <mergeCell ref="EJ175:EJ177"/>
    <mergeCell ref="EI278:EI280"/>
    <mergeCell ref="EI355:EI357"/>
    <mergeCell ref="EI157:EI159"/>
    <mergeCell ref="EI187:EI189"/>
    <mergeCell ref="EI190:EI192"/>
    <mergeCell ref="EI315:EI317"/>
    <mergeCell ref="EI318:EI320"/>
    <mergeCell ref="EI321:EI323"/>
    <mergeCell ref="EI324:EI326"/>
    <mergeCell ref="EI346:EI348"/>
    <mergeCell ref="EI349:EI351"/>
    <mergeCell ref="EI352:EI354"/>
    <mergeCell ref="EI220:EI222"/>
    <mergeCell ref="EI223:EI225"/>
    <mergeCell ref="EJ343:EJ345"/>
    <mergeCell ref="EJ187:EJ189"/>
    <mergeCell ref="EJ297:EJ299"/>
    <mergeCell ref="EJ300:EJ302"/>
    <mergeCell ref="EJ254:EJ256"/>
    <mergeCell ref="EJ257:EJ259"/>
    <mergeCell ref="EJ303:EJ305"/>
    <mergeCell ref="EJ328:EJ330"/>
    <mergeCell ref="EJ306:EJ308"/>
    <mergeCell ref="EJ309:EJ311"/>
    <mergeCell ref="EJ312:EJ314"/>
    <mergeCell ref="EJ294:EJ296"/>
    <mergeCell ref="EJ331:EJ333"/>
    <mergeCell ref="EJ334:EJ336"/>
    <mergeCell ref="EJ337:EJ339"/>
    <mergeCell ref="EJ181:EJ183"/>
    <mergeCell ref="EJ184:EJ186"/>
    <mergeCell ref="EI328:EI330"/>
    <mergeCell ref="EI331:EI333"/>
    <mergeCell ref="EJ97:EJ99"/>
    <mergeCell ref="EJ217:EJ219"/>
    <mergeCell ref="EJ121:EJ123"/>
    <mergeCell ref="EJ281:EJ283"/>
    <mergeCell ref="EJ284:EJ286"/>
    <mergeCell ref="EJ321:EJ323"/>
    <mergeCell ref="EJ324:EJ326"/>
    <mergeCell ref="EJ127:EJ129"/>
    <mergeCell ref="EJ124:EJ126"/>
    <mergeCell ref="EI100:EI102"/>
    <mergeCell ref="EI103:EI105"/>
    <mergeCell ref="EI106:EI108"/>
    <mergeCell ref="EI97:EI99"/>
    <mergeCell ref="EI309:EI311"/>
    <mergeCell ref="EI312:EI314"/>
    <mergeCell ref="EI124:EI126"/>
    <mergeCell ref="EI130:EI132"/>
    <mergeCell ref="EI254:EI256"/>
    <mergeCell ref="EI257:EI259"/>
    <mergeCell ref="EI260:EI262"/>
    <mergeCell ref="EI263:EI265"/>
    <mergeCell ref="EJ315:EJ317"/>
    <mergeCell ref="EJ318:EJ320"/>
    <mergeCell ref="EI112:EI114"/>
    <mergeCell ref="EI226:EI228"/>
    <mergeCell ref="EI229:EI231"/>
    <mergeCell ref="EI232:EI234"/>
    <mergeCell ref="EI235:EI237"/>
    <mergeCell ref="EI266:EI268"/>
    <mergeCell ref="EI269:EI271"/>
    <mergeCell ref="EI272:EI274"/>
    <mergeCell ref="EI275:EI277"/>
    <mergeCell ref="EJ220:EJ222"/>
    <mergeCell ref="EJ223:EJ225"/>
    <mergeCell ref="EJ226:EJ228"/>
    <mergeCell ref="EJ229:EJ231"/>
    <mergeCell ref="EJ232:EJ234"/>
    <mergeCell ref="EJ235:EJ237"/>
    <mergeCell ref="EJ238:EJ240"/>
    <mergeCell ref="EJ241:EJ243"/>
    <mergeCell ref="EI281:EI283"/>
    <mergeCell ref="EI284:EI286"/>
    <mergeCell ref="EI287:EI289"/>
    <mergeCell ref="EI290:EI292"/>
    <mergeCell ref="EI306:EI308"/>
    <mergeCell ref="EF303:EF305"/>
    <mergeCell ref="EE297:EE299"/>
    <mergeCell ref="ED297:ED299"/>
    <mergeCell ref="EC300:EC302"/>
    <mergeCell ref="EJ290:EJ292"/>
    <mergeCell ref="EJ260:EJ262"/>
    <mergeCell ref="EJ263:EJ265"/>
    <mergeCell ref="EJ266:EJ268"/>
    <mergeCell ref="EJ269:EJ271"/>
    <mergeCell ref="EC284:EC286"/>
    <mergeCell ref="EF281:EF283"/>
    <mergeCell ref="EE281:EE283"/>
    <mergeCell ref="EE284:EE286"/>
    <mergeCell ref="ED284:ED286"/>
    <mergeCell ref="EC281:EC283"/>
    <mergeCell ref="EI297:EI299"/>
    <mergeCell ref="EI300:EI302"/>
    <mergeCell ref="EC303:EC305"/>
    <mergeCell ref="EF226:EF228"/>
    <mergeCell ref="EI109:EI111"/>
    <mergeCell ref="EI118:EI120"/>
    <mergeCell ref="EI142:EI144"/>
    <mergeCell ref="EI121:EI123"/>
    <mergeCell ref="EI145:EI147"/>
    <mergeCell ref="EI127:EI129"/>
    <mergeCell ref="EI303:EI305"/>
    <mergeCell ref="DX121:DX123"/>
    <mergeCell ref="ED121:ED123"/>
    <mergeCell ref="ED303:ED305"/>
    <mergeCell ref="EF306:EF308"/>
    <mergeCell ref="EE306:EE308"/>
    <mergeCell ref="ED306:ED308"/>
    <mergeCell ref="EC306:EC308"/>
    <mergeCell ref="D294:D296"/>
    <mergeCell ref="E294:E296"/>
    <mergeCell ref="DX294:DX296"/>
    <mergeCell ref="DZ300:DZ302"/>
    <mergeCell ref="EA300:EA302"/>
    <mergeCell ref="EB300:EB302"/>
    <mergeCell ref="E300:E302"/>
    <mergeCell ref="EE290:EE292"/>
    <mergeCell ref="EB290:EB292"/>
    <mergeCell ref="EA290:EA292"/>
    <mergeCell ref="DZ290:DZ292"/>
    <mergeCell ref="EB275:EB277"/>
    <mergeCell ref="EC275:EC277"/>
    <mergeCell ref="DZ278:DZ280"/>
    <mergeCell ref="D300:D302"/>
    <mergeCell ref="ED300:ED302"/>
    <mergeCell ref="EF300:EF302"/>
    <mergeCell ref="DZ287:DZ289"/>
  </mergeCells>
  <conditionalFormatting sqref="G423:DV424">
    <cfRule type="cellIs" dxfId="1" priority="1" operator="lessThan">
      <formula>0</formula>
    </cfRule>
    <cfRule type="cellIs" dxfId="0" priority="2" operator="greaterThan">
      <formula>0</formula>
    </cfRule>
  </conditionalFormatting>
  <pageMargins left="0.74803149606299213" right="0.74803149606299213" top="0.98425196850393704" bottom="0.98425196850393704" header="0" footer="0"/>
  <pageSetup scale="10"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4"/>
  <sheetViews>
    <sheetView zoomScale="83" zoomScaleNormal="83" workbookViewId="0">
      <selection activeCell="F24" sqref="F24"/>
    </sheetView>
  </sheetViews>
  <sheetFormatPr baseColWidth="10" defaultRowHeight="12.75" x14ac:dyDescent="0.2"/>
  <cols>
    <col min="2" max="2" width="12.5703125" customWidth="1"/>
    <col min="3" max="3" width="13.42578125" customWidth="1"/>
    <col min="4" max="4" width="17.28515625" customWidth="1"/>
    <col min="5" max="5" width="12.42578125" customWidth="1"/>
    <col min="6" max="6" width="15.85546875" bestFit="1" customWidth="1"/>
    <col min="7" max="7" width="16.5703125" bestFit="1" customWidth="1"/>
    <col min="8" max="8" width="23.85546875" customWidth="1"/>
    <col min="9" max="9" width="19.28515625" customWidth="1"/>
    <col min="10" max="10" width="15.42578125" bestFit="1" customWidth="1"/>
    <col min="11" max="11" width="16.5703125" bestFit="1" customWidth="1"/>
    <col min="258" max="258" width="19.42578125" bestFit="1" customWidth="1"/>
    <col min="259" max="259" width="19.42578125" customWidth="1"/>
    <col min="260" max="260" width="17.5703125" bestFit="1" customWidth="1"/>
    <col min="261" max="262" width="15.85546875" bestFit="1" customWidth="1"/>
    <col min="263" max="263" width="16.5703125" bestFit="1" customWidth="1"/>
    <col min="266" max="266" width="15.42578125" bestFit="1" customWidth="1"/>
    <col min="267" max="267" width="16.5703125" bestFit="1" customWidth="1"/>
    <col min="514" max="514" width="19.42578125" bestFit="1" customWidth="1"/>
    <col min="515" max="515" width="19.42578125" customWidth="1"/>
    <col min="516" max="516" width="17.5703125" bestFit="1" customWidth="1"/>
    <col min="517" max="518" width="15.85546875" bestFit="1" customWidth="1"/>
    <col min="519" max="519" width="16.5703125" bestFit="1" customWidth="1"/>
    <col min="522" max="522" width="15.42578125" bestFit="1" customWidth="1"/>
    <col min="523" max="523" width="16.5703125" bestFit="1" customWidth="1"/>
    <col min="770" max="770" width="19.42578125" bestFit="1" customWidth="1"/>
    <col min="771" max="771" width="19.42578125" customWidth="1"/>
    <col min="772" max="772" width="17.5703125" bestFit="1" customWidth="1"/>
    <col min="773" max="774" width="15.85546875" bestFit="1" customWidth="1"/>
    <col min="775" max="775" width="16.5703125" bestFit="1" customWidth="1"/>
    <col min="778" max="778" width="15.42578125" bestFit="1" customWidth="1"/>
    <col min="779" max="779" width="16.5703125" bestFit="1" customWidth="1"/>
    <col min="1026" max="1026" width="19.42578125" bestFit="1" customWidth="1"/>
    <col min="1027" max="1027" width="19.42578125" customWidth="1"/>
    <col min="1028" max="1028" width="17.5703125" bestFit="1" customWidth="1"/>
    <col min="1029" max="1030" width="15.85546875" bestFit="1" customWidth="1"/>
    <col min="1031" max="1031" width="16.5703125" bestFit="1" customWidth="1"/>
    <col min="1034" max="1034" width="15.42578125" bestFit="1" customWidth="1"/>
    <col min="1035" max="1035" width="16.5703125" bestFit="1" customWidth="1"/>
    <col min="1282" max="1282" width="19.42578125" bestFit="1" customWidth="1"/>
    <col min="1283" max="1283" width="19.42578125" customWidth="1"/>
    <col min="1284" max="1284" width="17.5703125" bestFit="1" customWidth="1"/>
    <col min="1285" max="1286" width="15.85546875" bestFit="1" customWidth="1"/>
    <col min="1287" max="1287" width="16.5703125" bestFit="1" customWidth="1"/>
    <col min="1290" max="1290" width="15.42578125" bestFit="1" customWidth="1"/>
    <col min="1291" max="1291" width="16.5703125" bestFit="1" customWidth="1"/>
    <col min="1538" max="1538" width="19.42578125" bestFit="1" customWidth="1"/>
    <col min="1539" max="1539" width="19.42578125" customWidth="1"/>
    <col min="1540" max="1540" width="17.5703125" bestFit="1" customWidth="1"/>
    <col min="1541" max="1542" width="15.85546875" bestFit="1" customWidth="1"/>
    <col min="1543" max="1543" width="16.5703125" bestFit="1" customWidth="1"/>
    <col min="1546" max="1546" width="15.42578125" bestFit="1" customWidth="1"/>
    <col min="1547" max="1547" width="16.5703125" bestFit="1" customWidth="1"/>
    <col min="1794" max="1794" width="19.42578125" bestFit="1" customWidth="1"/>
    <col min="1795" max="1795" width="19.42578125" customWidth="1"/>
    <col min="1796" max="1796" width="17.5703125" bestFit="1" customWidth="1"/>
    <col min="1797" max="1798" width="15.85546875" bestFit="1" customWidth="1"/>
    <col min="1799" max="1799" width="16.5703125" bestFit="1" customWidth="1"/>
    <col min="1802" max="1802" width="15.42578125" bestFit="1" customWidth="1"/>
    <col min="1803" max="1803" width="16.5703125" bestFit="1" customWidth="1"/>
    <col min="2050" max="2050" width="19.42578125" bestFit="1" customWidth="1"/>
    <col min="2051" max="2051" width="19.42578125" customWidth="1"/>
    <col min="2052" max="2052" width="17.5703125" bestFit="1" customWidth="1"/>
    <col min="2053" max="2054" width="15.85546875" bestFit="1" customWidth="1"/>
    <col min="2055" max="2055" width="16.5703125" bestFit="1" customWidth="1"/>
    <col min="2058" max="2058" width="15.42578125" bestFit="1" customWidth="1"/>
    <col min="2059" max="2059" width="16.5703125" bestFit="1" customWidth="1"/>
    <col min="2306" max="2306" width="19.42578125" bestFit="1" customWidth="1"/>
    <col min="2307" max="2307" width="19.42578125" customWidth="1"/>
    <col min="2308" max="2308" width="17.5703125" bestFit="1" customWidth="1"/>
    <col min="2309" max="2310" width="15.85546875" bestFit="1" customWidth="1"/>
    <col min="2311" max="2311" width="16.5703125" bestFit="1" customWidth="1"/>
    <col min="2314" max="2314" width="15.42578125" bestFit="1" customWidth="1"/>
    <col min="2315" max="2315" width="16.5703125" bestFit="1" customWidth="1"/>
    <col min="2562" max="2562" width="19.42578125" bestFit="1" customWidth="1"/>
    <col min="2563" max="2563" width="19.42578125" customWidth="1"/>
    <col min="2564" max="2564" width="17.5703125" bestFit="1" customWidth="1"/>
    <col min="2565" max="2566" width="15.85546875" bestFit="1" customWidth="1"/>
    <col min="2567" max="2567" width="16.5703125" bestFit="1" customWidth="1"/>
    <col min="2570" max="2570" width="15.42578125" bestFit="1" customWidth="1"/>
    <col min="2571" max="2571" width="16.5703125" bestFit="1" customWidth="1"/>
    <col min="2818" max="2818" width="19.42578125" bestFit="1" customWidth="1"/>
    <col min="2819" max="2819" width="19.42578125" customWidth="1"/>
    <col min="2820" max="2820" width="17.5703125" bestFit="1" customWidth="1"/>
    <col min="2821" max="2822" width="15.85546875" bestFit="1" customWidth="1"/>
    <col min="2823" max="2823" width="16.5703125" bestFit="1" customWidth="1"/>
    <col min="2826" max="2826" width="15.42578125" bestFit="1" customWidth="1"/>
    <col min="2827" max="2827" width="16.5703125" bestFit="1" customWidth="1"/>
    <col min="3074" max="3074" width="19.42578125" bestFit="1" customWidth="1"/>
    <col min="3075" max="3075" width="19.42578125" customWidth="1"/>
    <col min="3076" max="3076" width="17.5703125" bestFit="1" customWidth="1"/>
    <col min="3077" max="3078" width="15.85546875" bestFit="1" customWidth="1"/>
    <col min="3079" max="3079" width="16.5703125" bestFit="1" customWidth="1"/>
    <col min="3082" max="3082" width="15.42578125" bestFit="1" customWidth="1"/>
    <col min="3083" max="3083" width="16.5703125" bestFit="1" customWidth="1"/>
    <col min="3330" max="3330" width="19.42578125" bestFit="1" customWidth="1"/>
    <col min="3331" max="3331" width="19.42578125" customWidth="1"/>
    <col min="3332" max="3332" width="17.5703125" bestFit="1" customWidth="1"/>
    <col min="3333" max="3334" width="15.85546875" bestFit="1" customWidth="1"/>
    <col min="3335" max="3335" width="16.5703125" bestFit="1" customWidth="1"/>
    <col min="3338" max="3338" width="15.42578125" bestFit="1" customWidth="1"/>
    <col min="3339" max="3339" width="16.5703125" bestFit="1" customWidth="1"/>
    <col min="3586" max="3586" width="19.42578125" bestFit="1" customWidth="1"/>
    <col min="3587" max="3587" width="19.42578125" customWidth="1"/>
    <col min="3588" max="3588" width="17.5703125" bestFit="1" customWidth="1"/>
    <col min="3589" max="3590" width="15.85546875" bestFit="1" customWidth="1"/>
    <col min="3591" max="3591" width="16.5703125" bestFit="1" customWidth="1"/>
    <col min="3594" max="3594" width="15.42578125" bestFit="1" customWidth="1"/>
    <col min="3595" max="3595" width="16.5703125" bestFit="1" customWidth="1"/>
    <col min="3842" max="3842" width="19.42578125" bestFit="1" customWidth="1"/>
    <col min="3843" max="3843" width="19.42578125" customWidth="1"/>
    <col min="3844" max="3844" width="17.5703125" bestFit="1" customWidth="1"/>
    <col min="3845" max="3846" width="15.85546875" bestFit="1" customWidth="1"/>
    <col min="3847" max="3847" width="16.5703125" bestFit="1" customWidth="1"/>
    <col min="3850" max="3850" width="15.42578125" bestFit="1" customWidth="1"/>
    <col min="3851" max="3851" width="16.5703125" bestFit="1" customWidth="1"/>
    <col min="4098" max="4098" width="19.42578125" bestFit="1" customWidth="1"/>
    <col min="4099" max="4099" width="19.42578125" customWidth="1"/>
    <col min="4100" max="4100" width="17.5703125" bestFit="1" customWidth="1"/>
    <col min="4101" max="4102" width="15.85546875" bestFit="1" customWidth="1"/>
    <col min="4103" max="4103" width="16.5703125" bestFit="1" customWidth="1"/>
    <col min="4106" max="4106" width="15.42578125" bestFit="1" customWidth="1"/>
    <col min="4107" max="4107" width="16.5703125" bestFit="1" customWidth="1"/>
    <col min="4354" max="4354" width="19.42578125" bestFit="1" customWidth="1"/>
    <col min="4355" max="4355" width="19.42578125" customWidth="1"/>
    <col min="4356" max="4356" width="17.5703125" bestFit="1" customWidth="1"/>
    <col min="4357" max="4358" width="15.85546875" bestFit="1" customWidth="1"/>
    <col min="4359" max="4359" width="16.5703125" bestFit="1" customWidth="1"/>
    <col min="4362" max="4362" width="15.42578125" bestFit="1" customWidth="1"/>
    <col min="4363" max="4363" width="16.5703125" bestFit="1" customWidth="1"/>
    <col min="4610" max="4610" width="19.42578125" bestFit="1" customWidth="1"/>
    <col min="4611" max="4611" width="19.42578125" customWidth="1"/>
    <col min="4612" max="4612" width="17.5703125" bestFit="1" customWidth="1"/>
    <col min="4613" max="4614" width="15.85546875" bestFit="1" customWidth="1"/>
    <col min="4615" max="4615" width="16.5703125" bestFit="1" customWidth="1"/>
    <col min="4618" max="4618" width="15.42578125" bestFit="1" customWidth="1"/>
    <col min="4619" max="4619" width="16.5703125" bestFit="1" customWidth="1"/>
    <col min="4866" max="4866" width="19.42578125" bestFit="1" customWidth="1"/>
    <col min="4867" max="4867" width="19.42578125" customWidth="1"/>
    <col min="4868" max="4868" width="17.5703125" bestFit="1" customWidth="1"/>
    <col min="4869" max="4870" width="15.85546875" bestFit="1" customWidth="1"/>
    <col min="4871" max="4871" width="16.5703125" bestFit="1" customWidth="1"/>
    <col min="4874" max="4874" width="15.42578125" bestFit="1" customWidth="1"/>
    <col min="4875" max="4875" width="16.5703125" bestFit="1" customWidth="1"/>
    <col min="5122" max="5122" width="19.42578125" bestFit="1" customWidth="1"/>
    <col min="5123" max="5123" width="19.42578125" customWidth="1"/>
    <col min="5124" max="5124" width="17.5703125" bestFit="1" customWidth="1"/>
    <col min="5125" max="5126" width="15.85546875" bestFit="1" customWidth="1"/>
    <col min="5127" max="5127" width="16.5703125" bestFit="1" customWidth="1"/>
    <col min="5130" max="5130" width="15.42578125" bestFit="1" customWidth="1"/>
    <col min="5131" max="5131" width="16.5703125" bestFit="1" customWidth="1"/>
    <col min="5378" max="5378" width="19.42578125" bestFit="1" customWidth="1"/>
    <col min="5379" max="5379" width="19.42578125" customWidth="1"/>
    <col min="5380" max="5380" width="17.5703125" bestFit="1" customWidth="1"/>
    <col min="5381" max="5382" width="15.85546875" bestFit="1" customWidth="1"/>
    <col min="5383" max="5383" width="16.5703125" bestFit="1" customWidth="1"/>
    <col min="5386" max="5386" width="15.42578125" bestFit="1" customWidth="1"/>
    <col min="5387" max="5387" width="16.5703125" bestFit="1" customWidth="1"/>
    <col min="5634" max="5634" width="19.42578125" bestFit="1" customWidth="1"/>
    <col min="5635" max="5635" width="19.42578125" customWidth="1"/>
    <col min="5636" max="5636" width="17.5703125" bestFit="1" customWidth="1"/>
    <col min="5637" max="5638" width="15.85546875" bestFit="1" customWidth="1"/>
    <col min="5639" max="5639" width="16.5703125" bestFit="1" customWidth="1"/>
    <col min="5642" max="5642" width="15.42578125" bestFit="1" customWidth="1"/>
    <col min="5643" max="5643" width="16.5703125" bestFit="1" customWidth="1"/>
    <col min="5890" max="5890" width="19.42578125" bestFit="1" customWidth="1"/>
    <col min="5891" max="5891" width="19.42578125" customWidth="1"/>
    <col min="5892" max="5892" width="17.5703125" bestFit="1" customWidth="1"/>
    <col min="5893" max="5894" width="15.85546875" bestFit="1" customWidth="1"/>
    <col min="5895" max="5895" width="16.5703125" bestFit="1" customWidth="1"/>
    <col min="5898" max="5898" width="15.42578125" bestFit="1" customWidth="1"/>
    <col min="5899" max="5899" width="16.5703125" bestFit="1" customWidth="1"/>
    <col min="6146" max="6146" width="19.42578125" bestFit="1" customWidth="1"/>
    <col min="6147" max="6147" width="19.42578125" customWidth="1"/>
    <col min="6148" max="6148" width="17.5703125" bestFit="1" customWidth="1"/>
    <col min="6149" max="6150" width="15.85546875" bestFit="1" customWidth="1"/>
    <col min="6151" max="6151" width="16.5703125" bestFit="1" customWidth="1"/>
    <col min="6154" max="6154" width="15.42578125" bestFit="1" customWidth="1"/>
    <col min="6155" max="6155" width="16.5703125" bestFit="1" customWidth="1"/>
    <col min="6402" max="6402" width="19.42578125" bestFit="1" customWidth="1"/>
    <col min="6403" max="6403" width="19.42578125" customWidth="1"/>
    <col min="6404" max="6404" width="17.5703125" bestFit="1" customWidth="1"/>
    <col min="6405" max="6406" width="15.85546875" bestFit="1" customWidth="1"/>
    <col min="6407" max="6407" width="16.5703125" bestFit="1" customWidth="1"/>
    <col min="6410" max="6410" width="15.42578125" bestFit="1" customWidth="1"/>
    <col min="6411" max="6411" width="16.5703125" bestFit="1" customWidth="1"/>
    <col min="6658" max="6658" width="19.42578125" bestFit="1" customWidth="1"/>
    <col min="6659" max="6659" width="19.42578125" customWidth="1"/>
    <col min="6660" max="6660" width="17.5703125" bestFit="1" customWidth="1"/>
    <col min="6661" max="6662" width="15.85546875" bestFit="1" customWidth="1"/>
    <col min="6663" max="6663" width="16.5703125" bestFit="1" customWidth="1"/>
    <col min="6666" max="6666" width="15.42578125" bestFit="1" customWidth="1"/>
    <col min="6667" max="6667" width="16.5703125" bestFit="1" customWidth="1"/>
    <col min="6914" max="6914" width="19.42578125" bestFit="1" customWidth="1"/>
    <col min="6915" max="6915" width="19.42578125" customWidth="1"/>
    <col min="6916" max="6916" width="17.5703125" bestFit="1" customWidth="1"/>
    <col min="6917" max="6918" width="15.85546875" bestFit="1" customWidth="1"/>
    <col min="6919" max="6919" width="16.5703125" bestFit="1" customWidth="1"/>
    <col min="6922" max="6922" width="15.42578125" bestFit="1" customWidth="1"/>
    <col min="6923" max="6923" width="16.5703125" bestFit="1" customWidth="1"/>
    <col min="7170" max="7170" width="19.42578125" bestFit="1" customWidth="1"/>
    <col min="7171" max="7171" width="19.42578125" customWidth="1"/>
    <col min="7172" max="7172" width="17.5703125" bestFit="1" customWidth="1"/>
    <col min="7173" max="7174" width="15.85546875" bestFit="1" customWidth="1"/>
    <col min="7175" max="7175" width="16.5703125" bestFit="1" customWidth="1"/>
    <col min="7178" max="7178" width="15.42578125" bestFit="1" customWidth="1"/>
    <col min="7179" max="7179" width="16.5703125" bestFit="1" customWidth="1"/>
    <col min="7426" max="7426" width="19.42578125" bestFit="1" customWidth="1"/>
    <col min="7427" max="7427" width="19.42578125" customWidth="1"/>
    <col min="7428" max="7428" width="17.5703125" bestFit="1" customWidth="1"/>
    <col min="7429" max="7430" width="15.85546875" bestFit="1" customWidth="1"/>
    <col min="7431" max="7431" width="16.5703125" bestFit="1" customWidth="1"/>
    <col min="7434" max="7434" width="15.42578125" bestFit="1" customWidth="1"/>
    <col min="7435" max="7435" width="16.5703125" bestFit="1" customWidth="1"/>
    <col min="7682" max="7682" width="19.42578125" bestFit="1" customWidth="1"/>
    <col min="7683" max="7683" width="19.42578125" customWidth="1"/>
    <col min="7684" max="7684" width="17.5703125" bestFit="1" customWidth="1"/>
    <col min="7685" max="7686" width="15.85546875" bestFit="1" customWidth="1"/>
    <col min="7687" max="7687" width="16.5703125" bestFit="1" customWidth="1"/>
    <col min="7690" max="7690" width="15.42578125" bestFit="1" customWidth="1"/>
    <col min="7691" max="7691" width="16.5703125" bestFit="1" customWidth="1"/>
    <col min="7938" max="7938" width="19.42578125" bestFit="1" customWidth="1"/>
    <col min="7939" max="7939" width="19.42578125" customWidth="1"/>
    <col min="7940" max="7940" width="17.5703125" bestFit="1" customWidth="1"/>
    <col min="7941" max="7942" width="15.85546875" bestFit="1" customWidth="1"/>
    <col min="7943" max="7943" width="16.5703125" bestFit="1" customWidth="1"/>
    <col min="7946" max="7946" width="15.42578125" bestFit="1" customWidth="1"/>
    <col min="7947" max="7947" width="16.5703125" bestFit="1" customWidth="1"/>
    <col min="8194" max="8194" width="19.42578125" bestFit="1" customWidth="1"/>
    <col min="8195" max="8195" width="19.42578125" customWidth="1"/>
    <col min="8196" max="8196" width="17.5703125" bestFit="1" customWidth="1"/>
    <col min="8197" max="8198" width="15.85546875" bestFit="1" customWidth="1"/>
    <col min="8199" max="8199" width="16.5703125" bestFit="1" customWidth="1"/>
    <col min="8202" max="8202" width="15.42578125" bestFit="1" customWidth="1"/>
    <col min="8203" max="8203" width="16.5703125" bestFit="1" customWidth="1"/>
    <col min="8450" max="8450" width="19.42578125" bestFit="1" customWidth="1"/>
    <col min="8451" max="8451" width="19.42578125" customWidth="1"/>
    <col min="8452" max="8452" width="17.5703125" bestFit="1" customWidth="1"/>
    <col min="8453" max="8454" width="15.85546875" bestFit="1" customWidth="1"/>
    <col min="8455" max="8455" width="16.5703125" bestFit="1" customWidth="1"/>
    <col min="8458" max="8458" width="15.42578125" bestFit="1" customWidth="1"/>
    <col min="8459" max="8459" width="16.5703125" bestFit="1" customWidth="1"/>
    <col min="8706" max="8706" width="19.42578125" bestFit="1" customWidth="1"/>
    <col min="8707" max="8707" width="19.42578125" customWidth="1"/>
    <col min="8708" max="8708" width="17.5703125" bestFit="1" customWidth="1"/>
    <col min="8709" max="8710" width="15.85546875" bestFit="1" customWidth="1"/>
    <col min="8711" max="8711" width="16.5703125" bestFit="1" customWidth="1"/>
    <col min="8714" max="8714" width="15.42578125" bestFit="1" customWidth="1"/>
    <col min="8715" max="8715" width="16.5703125" bestFit="1" customWidth="1"/>
    <col min="8962" max="8962" width="19.42578125" bestFit="1" customWidth="1"/>
    <col min="8963" max="8963" width="19.42578125" customWidth="1"/>
    <col min="8964" max="8964" width="17.5703125" bestFit="1" customWidth="1"/>
    <col min="8965" max="8966" width="15.85546875" bestFit="1" customWidth="1"/>
    <col min="8967" max="8967" width="16.5703125" bestFit="1" customWidth="1"/>
    <col min="8970" max="8970" width="15.42578125" bestFit="1" customWidth="1"/>
    <col min="8971" max="8971" width="16.5703125" bestFit="1" customWidth="1"/>
    <col min="9218" max="9218" width="19.42578125" bestFit="1" customWidth="1"/>
    <col min="9219" max="9219" width="19.42578125" customWidth="1"/>
    <col min="9220" max="9220" width="17.5703125" bestFit="1" customWidth="1"/>
    <col min="9221" max="9222" width="15.85546875" bestFit="1" customWidth="1"/>
    <col min="9223" max="9223" width="16.5703125" bestFit="1" customWidth="1"/>
    <col min="9226" max="9226" width="15.42578125" bestFit="1" customWidth="1"/>
    <col min="9227" max="9227" width="16.5703125" bestFit="1" customWidth="1"/>
    <col min="9474" max="9474" width="19.42578125" bestFit="1" customWidth="1"/>
    <col min="9475" max="9475" width="19.42578125" customWidth="1"/>
    <col min="9476" max="9476" width="17.5703125" bestFit="1" customWidth="1"/>
    <col min="9477" max="9478" width="15.85546875" bestFit="1" customWidth="1"/>
    <col min="9479" max="9479" width="16.5703125" bestFit="1" customWidth="1"/>
    <col min="9482" max="9482" width="15.42578125" bestFit="1" customWidth="1"/>
    <col min="9483" max="9483" width="16.5703125" bestFit="1" customWidth="1"/>
    <col min="9730" max="9730" width="19.42578125" bestFit="1" customWidth="1"/>
    <col min="9731" max="9731" width="19.42578125" customWidth="1"/>
    <col min="9732" max="9732" width="17.5703125" bestFit="1" customWidth="1"/>
    <col min="9733" max="9734" width="15.85546875" bestFit="1" customWidth="1"/>
    <col min="9735" max="9735" width="16.5703125" bestFit="1" customWidth="1"/>
    <col min="9738" max="9738" width="15.42578125" bestFit="1" customWidth="1"/>
    <col min="9739" max="9739" width="16.5703125" bestFit="1" customWidth="1"/>
    <col min="9986" max="9986" width="19.42578125" bestFit="1" customWidth="1"/>
    <col min="9987" max="9987" width="19.42578125" customWidth="1"/>
    <col min="9988" max="9988" width="17.5703125" bestFit="1" customWidth="1"/>
    <col min="9989" max="9990" width="15.85546875" bestFit="1" customWidth="1"/>
    <col min="9991" max="9991" width="16.5703125" bestFit="1" customWidth="1"/>
    <col min="9994" max="9994" width="15.42578125" bestFit="1" customWidth="1"/>
    <col min="9995" max="9995" width="16.5703125" bestFit="1" customWidth="1"/>
    <col min="10242" max="10242" width="19.42578125" bestFit="1" customWidth="1"/>
    <col min="10243" max="10243" width="19.42578125" customWidth="1"/>
    <col min="10244" max="10244" width="17.5703125" bestFit="1" customWidth="1"/>
    <col min="10245" max="10246" width="15.85546875" bestFit="1" customWidth="1"/>
    <col min="10247" max="10247" width="16.5703125" bestFit="1" customWidth="1"/>
    <col min="10250" max="10250" width="15.42578125" bestFit="1" customWidth="1"/>
    <col min="10251" max="10251" width="16.5703125" bestFit="1" customWidth="1"/>
    <col min="10498" max="10498" width="19.42578125" bestFit="1" customWidth="1"/>
    <col min="10499" max="10499" width="19.42578125" customWidth="1"/>
    <col min="10500" max="10500" width="17.5703125" bestFit="1" customWidth="1"/>
    <col min="10501" max="10502" width="15.85546875" bestFit="1" customWidth="1"/>
    <col min="10503" max="10503" width="16.5703125" bestFit="1" customWidth="1"/>
    <col min="10506" max="10506" width="15.42578125" bestFit="1" customWidth="1"/>
    <col min="10507" max="10507" width="16.5703125" bestFit="1" customWidth="1"/>
    <col min="10754" max="10754" width="19.42578125" bestFit="1" customWidth="1"/>
    <col min="10755" max="10755" width="19.42578125" customWidth="1"/>
    <col min="10756" max="10756" width="17.5703125" bestFit="1" customWidth="1"/>
    <col min="10757" max="10758" width="15.85546875" bestFit="1" customWidth="1"/>
    <col min="10759" max="10759" width="16.5703125" bestFit="1" customWidth="1"/>
    <col min="10762" max="10762" width="15.42578125" bestFit="1" customWidth="1"/>
    <col min="10763" max="10763" width="16.5703125" bestFit="1" customWidth="1"/>
    <col min="11010" max="11010" width="19.42578125" bestFit="1" customWidth="1"/>
    <col min="11011" max="11011" width="19.42578125" customWidth="1"/>
    <col min="11012" max="11012" width="17.5703125" bestFit="1" customWidth="1"/>
    <col min="11013" max="11014" width="15.85546875" bestFit="1" customWidth="1"/>
    <col min="11015" max="11015" width="16.5703125" bestFit="1" customWidth="1"/>
    <col min="11018" max="11018" width="15.42578125" bestFit="1" customWidth="1"/>
    <col min="11019" max="11019" width="16.5703125" bestFit="1" customWidth="1"/>
    <col min="11266" max="11266" width="19.42578125" bestFit="1" customWidth="1"/>
    <col min="11267" max="11267" width="19.42578125" customWidth="1"/>
    <col min="11268" max="11268" width="17.5703125" bestFit="1" customWidth="1"/>
    <col min="11269" max="11270" width="15.85546875" bestFit="1" customWidth="1"/>
    <col min="11271" max="11271" width="16.5703125" bestFit="1" customWidth="1"/>
    <col min="11274" max="11274" width="15.42578125" bestFit="1" customWidth="1"/>
    <col min="11275" max="11275" width="16.5703125" bestFit="1" customWidth="1"/>
    <col min="11522" max="11522" width="19.42578125" bestFit="1" customWidth="1"/>
    <col min="11523" max="11523" width="19.42578125" customWidth="1"/>
    <col min="11524" max="11524" width="17.5703125" bestFit="1" customWidth="1"/>
    <col min="11525" max="11526" width="15.85546875" bestFit="1" customWidth="1"/>
    <col min="11527" max="11527" width="16.5703125" bestFit="1" customWidth="1"/>
    <col min="11530" max="11530" width="15.42578125" bestFit="1" customWidth="1"/>
    <col min="11531" max="11531" width="16.5703125" bestFit="1" customWidth="1"/>
    <col min="11778" max="11778" width="19.42578125" bestFit="1" customWidth="1"/>
    <col min="11779" max="11779" width="19.42578125" customWidth="1"/>
    <col min="11780" max="11780" width="17.5703125" bestFit="1" customWidth="1"/>
    <col min="11781" max="11782" width="15.85546875" bestFit="1" customWidth="1"/>
    <col min="11783" max="11783" width="16.5703125" bestFit="1" customWidth="1"/>
    <col min="11786" max="11786" width="15.42578125" bestFit="1" customWidth="1"/>
    <col min="11787" max="11787" width="16.5703125" bestFit="1" customWidth="1"/>
    <col min="12034" max="12034" width="19.42578125" bestFit="1" customWidth="1"/>
    <col min="12035" max="12035" width="19.42578125" customWidth="1"/>
    <col min="12036" max="12036" width="17.5703125" bestFit="1" customWidth="1"/>
    <col min="12037" max="12038" width="15.85546875" bestFit="1" customWidth="1"/>
    <col min="12039" max="12039" width="16.5703125" bestFit="1" customWidth="1"/>
    <col min="12042" max="12042" width="15.42578125" bestFit="1" customWidth="1"/>
    <col min="12043" max="12043" width="16.5703125" bestFit="1" customWidth="1"/>
    <col min="12290" max="12290" width="19.42578125" bestFit="1" customWidth="1"/>
    <col min="12291" max="12291" width="19.42578125" customWidth="1"/>
    <col min="12292" max="12292" width="17.5703125" bestFit="1" customWidth="1"/>
    <col min="12293" max="12294" width="15.85546875" bestFit="1" customWidth="1"/>
    <col min="12295" max="12295" width="16.5703125" bestFit="1" customWidth="1"/>
    <col min="12298" max="12298" width="15.42578125" bestFit="1" customWidth="1"/>
    <col min="12299" max="12299" width="16.5703125" bestFit="1" customWidth="1"/>
    <col min="12546" max="12546" width="19.42578125" bestFit="1" customWidth="1"/>
    <col min="12547" max="12547" width="19.42578125" customWidth="1"/>
    <col min="12548" max="12548" width="17.5703125" bestFit="1" customWidth="1"/>
    <col min="12549" max="12550" width="15.85546875" bestFit="1" customWidth="1"/>
    <col min="12551" max="12551" width="16.5703125" bestFit="1" customWidth="1"/>
    <col min="12554" max="12554" width="15.42578125" bestFit="1" customWidth="1"/>
    <col min="12555" max="12555" width="16.5703125" bestFit="1" customWidth="1"/>
    <col min="12802" max="12802" width="19.42578125" bestFit="1" customWidth="1"/>
    <col min="12803" max="12803" width="19.42578125" customWidth="1"/>
    <col min="12804" max="12804" width="17.5703125" bestFit="1" customWidth="1"/>
    <col min="12805" max="12806" width="15.85546875" bestFit="1" customWidth="1"/>
    <col min="12807" max="12807" width="16.5703125" bestFit="1" customWidth="1"/>
    <col min="12810" max="12810" width="15.42578125" bestFit="1" customWidth="1"/>
    <col min="12811" max="12811" width="16.5703125" bestFit="1" customWidth="1"/>
    <col min="13058" max="13058" width="19.42578125" bestFit="1" customWidth="1"/>
    <col min="13059" max="13059" width="19.42578125" customWidth="1"/>
    <col min="13060" max="13060" width="17.5703125" bestFit="1" customWidth="1"/>
    <col min="13061" max="13062" width="15.85546875" bestFit="1" customWidth="1"/>
    <col min="13063" max="13063" width="16.5703125" bestFit="1" customWidth="1"/>
    <col min="13066" max="13066" width="15.42578125" bestFit="1" customWidth="1"/>
    <col min="13067" max="13067" width="16.5703125" bestFit="1" customWidth="1"/>
    <col min="13314" max="13314" width="19.42578125" bestFit="1" customWidth="1"/>
    <col min="13315" max="13315" width="19.42578125" customWidth="1"/>
    <col min="13316" max="13316" width="17.5703125" bestFit="1" customWidth="1"/>
    <col min="13317" max="13318" width="15.85546875" bestFit="1" customWidth="1"/>
    <col min="13319" max="13319" width="16.5703125" bestFit="1" customWidth="1"/>
    <col min="13322" max="13322" width="15.42578125" bestFit="1" customWidth="1"/>
    <col min="13323" max="13323" width="16.5703125" bestFit="1" customWidth="1"/>
    <col min="13570" max="13570" width="19.42578125" bestFit="1" customWidth="1"/>
    <col min="13571" max="13571" width="19.42578125" customWidth="1"/>
    <col min="13572" max="13572" width="17.5703125" bestFit="1" customWidth="1"/>
    <col min="13573" max="13574" width="15.85546875" bestFit="1" customWidth="1"/>
    <col min="13575" max="13575" width="16.5703125" bestFit="1" customWidth="1"/>
    <col min="13578" max="13578" width="15.42578125" bestFit="1" customWidth="1"/>
    <col min="13579" max="13579" width="16.5703125" bestFit="1" customWidth="1"/>
    <col min="13826" max="13826" width="19.42578125" bestFit="1" customWidth="1"/>
    <col min="13827" max="13827" width="19.42578125" customWidth="1"/>
    <col min="13828" max="13828" width="17.5703125" bestFit="1" customWidth="1"/>
    <col min="13829" max="13830" width="15.85546875" bestFit="1" customWidth="1"/>
    <col min="13831" max="13831" width="16.5703125" bestFit="1" customWidth="1"/>
    <col min="13834" max="13834" width="15.42578125" bestFit="1" customWidth="1"/>
    <col min="13835" max="13835" width="16.5703125" bestFit="1" customWidth="1"/>
    <col min="14082" max="14082" width="19.42578125" bestFit="1" customWidth="1"/>
    <col min="14083" max="14083" width="19.42578125" customWidth="1"/>
    <col min="14084" max="14084" width="17.5703125" bestFit="1" customWidth="1"/>
    <col min="14085" max="14086" width="15.85546875" bestFit="1" customWidth="1"/>
    <col min="14087" max="14087" width="16.5703125" bestFit="1" customWidth="1"/>
    <col min="14090" max="14090" width="15.42578125" bestFit="1" customWidth="1"/>
    <col min="14091" max="14091" width="16.5703125" bestFit="1" customWidth="1"/>
    <col min="14338" max="14338" width="19.42578125" bestFit="1" customWidth="1"/>
    <col min="14339" max="14339" width="19.42578125" customWidth="1"/>
    <col min="14340" max="14340" width="17.5703125" bestFit="1" customWidth="1"/>
    <col min="14341" max="14342" width="15.85546875" bestFit="1" customWidth="1"/>
    <col min="14343" max="14343" width="16.5703125" bestFit="1" customWidth="1"/>
    <col min="14346" max="14346" width="15.42578125" bestFit="1" customWidth="1"/>
    <col min="14347" max="14347" width="16.5703125" bestFit="1" customWidth="1"/>
    <col min="14594" max="14594" width="19.42578125" bestFit="1" customWidth="1"/>
    <col min="14595" max="14595" width="19.42578125" customWidth="1"/>
    <col min="14596" max="14596" width="17.5703125" bestFit="1" customWidth="1"/>
    <col min="14597" max="14598" width="15.85546875" bestFit="1" customWidth="1"/>
    <col min="14599" max="14599" width="16.5703125" bestFit="1" customWidth="1"/>
    <col min="14602" max="14602" width="15.42578125" bestFit="1" customWidth="1"/>
    <col min="14603" max="14603" width="16.5703125" bestFit="1" customWidth="1"/>
    <col min="14850" max="14850" width="19.42578125" bestFit="1" customWidth="1"/>
    <col min="14851" max="14851" width="19.42578125" customWidth="1"/>
    <col min="14852" max="14852" width="17.5703125" bestFit="1" customWidth="1"/>
    <col min="14853" max="14854" width="15.85546875" bestFit="1" customWidth="1"/>
    <col min="14855" max="14855" width="16.5703125" bestFit="1" customWidth="1"/>
    <col min="14858" max="14858" width="15.42578125" bestFit="1" customWidth="1"/>
    <col min="14859" max="14859" width="16.5703125" bestFit="1" customWidth="1"/>
    <col min="15106" max="15106" width="19.42578125" bestFit="1" customWidth="1"/>
    <col min="15107" max="15107" width="19.42578125" customWidth="1"/>
    <col min="15108" max="15108" width="17.5703125" bestFit="1" customWidth="1"/>
    <col min="15109" max="15110" width="15.85546875" bestFit="1" customWidth="1"/>
    <col min="15111" max="15111" width="16.5703125" bestFit="1" customWidth="1"/>
    <col min="15114" max="15114" width="15.42578125" bestFit="1" customWidth="1"/>
    <col min="15115" max="15115" width="16.5703125" bestFit="1" customWidth="1"/>
    <col min="15362" max="15362" width="19.42578125" bestFit="1" customWidth="1"/>
    <col min="15363" max="15363" width="19.42578125" customWidth="1"/>
    <col min="15364" max="15364" width="17.5703125" bestFit="1" customWidth="1"/>
    <col min="15365" max="15366" width="15.85546875" bestFit="1" customWidth="1"/>
    <col min="15367" max="15367" width="16.5703125" bestFit="1" customWidth="1"/>
    <col min="15370" max="15370" width="15.42578125" bestFit="1" customWidth="1"/>
    <col min="15371" max="15371" width="16.5703125" bestFit="1" customWidth="1"/>
    <col min="15618" max="15618" width="19.42578125" bestFit="1" customWidth="1"/>
    <col min="15619" max="15619" width="19.42578125" customWidth="1"/>
    <col min="15620" max="15620" width="17.5703125" bestFit="1" customWidth="1"/>
    <col min="15621" max="15622" width="15.85546875" bestFit="1" customWidth="1"/>
    <col min="15623" max="15623" width="16.5703125" bestFit="1" customWidth="1"/>
    <col min="15626" max="15626" width="15.42578125" bestFit="1" customWidth="1"/>
    <col min="15627" max="15627" width="16.5703125" bestFit="1" customWidth="1"/>
    <col min="15874" max="15874" width="19.42578125" bestFit="1" customWidth="1"/>
    <col min="15875" max="15875" width="19.42578125" customWidth="1"/>
    <col min="15876" max="15876" width="17.5703125" bestFit="1" customWidth="1"/>
    <col min="15877" max="15878" width="15.85546875" bestFit="1" customWidth="1"/>
    <col min="15879" max="15879" width="16.5703125" bestFit="1" customWidth="1"/>
    <col min="15882" max="15882" width="15.42578125" bestFit="1" customWidth="1"/>
    <col min="15883" max="15883" width="16.5703125" bestFit="1" customWidth="1"/>
    <col min="16130" max="16130" width="19.42578125" bestFit="1" customWidth="1"/>
    <col min="16131" max="16131" width="19.42578125" customWidth="1"/>
    <col min="16132" max="16132" width="17.5703125" bestFit="1" customWidth="1"/>
    <col min="16133" max="16134" width="15.85546875" bestFit="1" customWidth="1"/>
    <col min="16135" max="16135" width="16.5703125" bestFit="1" customWidth="1"/>
    <col min="16138" max="16138" width="15.42578125" bestFit="1" customWidth="1"/>
    <col min="16139" max="16139" width="16.5703125" bestFit="1" customWidth="1"/>
  </cols>
  <sheetData>
    <row r="1" spans="1:11" x14ac:dyDescent="0.2">
      <c r="A1" s="478"/>
      <c r="B1" s="479"/>
    </row>
    <row r="2" spans="1:11" x14ac:dyDescent="0.2">
      <c r="B2" s="1117" t="s">
        <v>260</v>
      </c>
      <c r="C2" s="1117"/>
      <c r="D2" s="1117"/>
      <c r="E2" s="1117"/>
      <c r="F2" s="1117"/>
      <c r="G2" s="1117"/>
      <c r="H2" s="140"/>
    </row>
    <row r="3" spans="1:11" x14ac:dyDescent="0.2">
      <c r="C3" s="140"/>
    </row>
    <row r="4" spans="1:11" x14ac:dyDescent="0.2">
      <c r="B4" s="620" t="s">
        <v>261</v>
      </c>
      <c r="C4" s="620"/>
      <c r="D4" s="401">
        <f>+POA!CY412</f>
        <v>0</v>
      </c>
    </row>
    <row r="5" spans="1:11" x14ac:dyDescent="0.2">
      <c r="B5" s="620" t="s">
        <v>262</v>
      </c>
      <c r="C5" s="620"/>
      <c r="D5" s="620" t="s">
        <v>576</v>
      </c>
      <c r="E5" s="141" t="s">
        <v>263</v>
      </c>
      <c r="F5" s="142">
        <v>7.0000000000000007E-2</v>
      </c>
      <c r="G5" t="s">
        <v>264</v>
      </c>
      <c r="H5" s="149"/>
      <c r="I5" s="402"/>
    </row>
    <row r="6" spans="1:11" x14ac:dyDescent="0.2">
      <c r="B6" s="620"/>
      <c r="D6" s="620"/>
      <c r="E6" s="141" t="s">
        <v>265</v>
      </c>
      <c r="F6" s="143">
        <v>0.04</v>
      </c>
    </row>
    <row r="7" spans="1:11" x14ac:dyDescent="0.2">
      <c r="B7" s="1118" t="s">
        <v>266</v>
      </c>
      <c r="C7" s="1118"/>
      <c r="D7" s="1118"/>
      <c r="E7" s="141"/>
    </row>
    <row r="8" spans="1:11" x14ac:dyDescent="0.2">
      <c r="B8" s="144"/>
      <c r="C8" s="144"/>
      <c r="D8" s="145"/>
      <c r="E8" s="141"/>
    </row>
    <row r="9" spans="1:11" x14ac:dyDescent="0.2">
      <c r="B9" s="144"/>
      <c r="C9" s="289"/>
      <c r="D9" s="145"/>
      <c r="F9" s="146">
        <f>+F5+F6</f>
        <v>0.11000000000000001</v>
      </c>
      <c r="G9" t="s">
        <v>264</v>
      </c>
    </row>
    <row r="10" spans="1:11" x14ac:dyDescent="0.2">
      <c r="B10" s="144"/>
      <c r="C10" s="403"/>
      <c r="D10" s="145"/>
      <c r="F10" s="146"/>
    </row>
    <row r="11" spans="1:11" x14ac:dyDescent="0.2">
      <c r="B11" s="147">
        <v>2018</v>
      </c>
      <c r="C11" s="458">
        <v>43160</v>
      </c>
      <c r="D11" s="148">
        <f>+POA!DA412</f>
        <v>0</v>
      </c>
    </row>
    <row r="12" spans="1:11" x14ac:dyDescent="0.2">
      <c r="B12" s="144"/>
      <c r="C12" s="144"/>
      <c r="D12" s="145"/>
      <c r="F12" s="404">
        <f>+((1+(F9/4))^(4))-1</f>
        <v>0.11462125941406276</v>
      </c>
      <c r="G12" t="s">
        <v>267</v>
      </c>
    </row>
    <row r="13" spans="1:11" x14ac:dyDescent="0.2">
      <c r="B13" s="147"/>
      <c r="C13" s="147"/>
      <c r="D13" s="148"/>
    </row>
    <row r="14" spans="1:11" x14ac:dyDescent="0.2">
      <c r="B14" s="149" t="s">
        <v>101</v>
      </c>
      <c r="C14" s="149"/>
      <c r="D14" s="405">
        <f>+SUM(D9:D13)</f>
        <v>0</v>
      </c>
      <c r="F14" s="150">
        <f>+((1+F12)^(1/4))-1</f>
        <v>2.750000000000008E-2</v>
      </c>
      <c r="G14" s="140" t="s">
        <v>268</v>
      </c>
      <c r="H14" s="406"/>
      <c r="K14" s="407"/>
    </row>
    <row r="15" spans="1:11" x14ac:dyDescent="0.2">
      <c r="F15" s="146"/>
    </row>
    <row r="16" spans="1:11" x14ac:dyDescent="0.2">
      <c r="B16" s="153"/>
      <c r="C16" s="151" t="s">
        <v>269</v>
      </c>
      <c r="D16" s="151" t="s">
        <v>230</v>
      </c>
      <c r="E16" s="151" t="s">
        <v>270</v>
      </c>
      <c r="F16" s="151" t="s">
        <v>271</v>
      </c>
      <c r="G16" s="151" t="s">
        <v>272</v>
      </c>
    </row>
    <row r="17" spans="1:10" x14ac:dyDescent="0.2">
      <c r="B17" s="153">
        <v>43160</v>
      </c>
      <c r="C17" s="629">
        <f>D11</f>
        <v>0</v>
      </c>
      <c r="D17" s="151"/>
      <c r="E17" s="151"/>
      <c r="F17" s="151"/>
      <c r="G17" s="629">
        <f>+C17</f>
        <v>0</v>
      </c>
    </row>
    <row r="18" spans="1:10" x14ac:dyDescent="0.2">
      <c r="B18" s="153">
        <v>43252</v>
      </c>
      <c r="C18" s="151"/>
      <c r="D18" s="408">
        <f t="shared" ref="D18:D23" si="0">+E18+F18</f>
        <v>0</v>
      </c>
      <c r="E18" s="408">
        <f t="shared" ref="E18:E23" si="1">G17*$F$14</f>
        <v>0</v>
      </c>
      <c r="F18" s="408">
        <f t="shared" ref="F18:F23" si="2">+$D$11/6</f>
        <v>0</v>
      </c>
      <c r="G18" s="152">
        <f t="shared" ref="G18:G23" si="3">G17+C18-F18</f>
        <v>0</v>
      </c>
    </row>
    <row r="19" spans="1:10" x14ac:dyDescent="0.2">
      <c r="B19" s="153">
        <v>43344</v>
      </c>
      <c r="C19" s="151"/>
      <c r="D19" s="408">
        <f t="shared" si="0"/>
        <v>0</v>
      </c>
      <c r="E19" s="408">
        <f t="shared" si="1"/>
        <v>0</v>
      </c>
      <c r="F19" s="408">
        <f t="shared" si="2"/>
        <v>0</v>
      </c>
      <c r="G19" s="152">
        <f t="shared" si="3"/>
        <v>0</v>
      </c>
    </row>
    <row r="20" spans="1:10" x14ac:dyDescent="0.2">
      <c r="B20" s="153">
        <v>43435</v>
      </c>
      <c r="C20" s="151"/>
      <c r="D20" s="408">
        <f t="shared" si="0"/>
        <v>0</v>
      </c>
      <c r="E20" s="408">
        <f t="shared" si="1"/>
        <v>0</v>
      </c>
      <c r="F20" s="408">
        <f t="shared" si="2"/>
        <v>0</v>
      </c>
      <c r="G20" s="152">
        <f t="shared" si="3"/>
        <v>0</v>
      </c>
    </row>
    <row r="21" spans="1:10" x14ac:dyDescent="0.2">
      <c r="B21" s="153">
        <v>43525</v>
      </c>
      <c r="C21" s="408">
        <v>0</v>
      </c>
      <c r="D21" s="408">
        <f t="shared" si="0"/>
        <v>0</v>
      </c>
      <c r="E21" s="408">
        <f t="shared" si="1"/>
        <v>0</v>
      </c>
      <c r="F21" s="408">
        <f t="shared" si="2"/>
        <v>0</v>
      </c>
      <c r="G21" s="152">
        <f t="shared" si="3"/>
        <v>0</v>
      </c>
    </row>
    <row r="22" spans="1:10" x14ac:dyDescent="0.2">
      <c r="A22">
        <v>1</v>
      </c>
      <c r="B22" s="153">
        <v>43617</v>
      </c>
      <c r="C22" s="408"/>
      <c r="D22" s="408">
        <f t="shared" si="0"/>
        <v>0</v>
      </c>
      <c r="E22" s="408">
        <f t="shared" si="1"/>
        <v>0</v>
      </c>
      <c r="F22" s="408">
        <f t="shared" si="2"/>
        <v>0</v>
      </c>
      <c r="G22" s="152">
        <f t="shared" si="3"/>
        <v>0</v>
      </c>
    </row>
    <row r="23" spans="1:10" x14ac:dyDescent="0.2">
      <c r="A23">
        <v>2</v>
      </c>
      <c r="B23" s="153">
        <v>43709</v>
      </c>
      <c r="C23" s="408">
        <v>0</v>
      </c>
      <c r="D23" s="408">
        <f t="shared" si="0"/>
        <v>0</v>
      </c>
      <c r="E23" s="408">
        <f t="shared" si="1"/>
        <v>0</v>
      </c>
      <c r="F23" s="408">
        <f t="shared" si="2"/>
        <v>0</v>
      </c>
      <c r="G23" s="152">
        <f t="shared" si="3"/>
        <v>0</v>
      </c>
    </row>
    <row r="24" spans="1:10" x14ac:dyDescent="0.2">
      <c r="A24">
        <v>3</v>
      </c>
      <c r="B24" s="153">
        <v>43800</v>
      </c>
      <c r="C24" s="408"/>
      <c r="D24" s="408"/>
      <c r="E24" s="408"/>
      <c r="F24" s="408"/>
      <c r="G24" s="152"/>
    </row>
    <row r="25" spans="1:10" x14ac:dyDescent="0.2">
      <c r="A25">
        <v>4</v>
      </c>
      <c r="B25" s="153"/>
      <c r="C25" s="408"/>
      <c r="D25" s="408"/>
      <c r="E25" s="408"/>
      <c r="F25" s="408"/>
      <c r="G25" s="152"/>
    </row>
    <row r="26" spans="1:10" x14ac:dyDescent="0.2">
      <c r="A26">
        <v>5</v>
      </c>
      <c r="B26" s="153"/>
      <c r="C26" s="408"/>
      <c r="D26" s="408"/>
      <c r="E26" s="408"/>
      <c r="F26" s="408"/>
      <c r="G26" s="152"/>
    </row>
    <row r="27" spans="1:10" x14ac:dyDescent="0.2">
      <c r="A27">
        <v>6</v>
      </c>
      <c r="B27" s="153"/>
      <c r="C27" s="408"/>
      <c r="D27" s="408"/>
      <c r="E27" s="408"/>
      <c r="F27" s="408"/>
      <c r="G27" s="152"/>
    </row>
    <row r="28" spans="1:10" x14ac:dyDescent="0.2">
      <c r="A28">
        <v>7</v>
      </c>
      <c r="B28" s="153"/>
      <c r="C28" s="408"/>
      <c r="D28" s="408"/>
      <c r="E28" s="408"/>
      <c r="F28" s="408"/>
      <c r="G28" s="152"/>
      <c r="J28" s="154"/>
    </row>
    <row r="29" spans="1:10" x14ac:dyDescent="0.2">
      <c r="A29">
        <v>8</v>
      </c>
      <c r="B29" s="153"/>
      <c r="C29" s="408"/>
      <c r="D29" s="408"/>
      <c r="E29" s="408"/>
      <c r="F29" s="408"/>
      <c r="G29" s="152"/>
    </row>
    <row r="30" spans="1:10" x14ac:dyDescent="0.2">
      <c r="A30">
        <v>9</v>
      </c>
      <c r="B30" s="153"/>
      <c r="C30" s="408"/>
      <c r="D30" s="408"/>
      <c r="E30" s="408"/>
      <c r="F30" s="408"/>
      <c r="G30" s="152"/>
    </row>
    <row r="31" spans="1:10" x14ac:dyDescent="0.2">
      <c r="A31">
        <v>10</v>
      </c>
      <c r="B31" s="153"/>
      <c r="C31" s="408"/>
      <c r="D31" s="408"/>
      <c r="E31" s="408"/>
      <c r="F31" s="408"/>
      <c r="G31" s="152"/>
    </row>
    <row r="32" spans="1:10" x14ac:dyDescent="0.2">
      <c r="A32">
        <v>11</v>
      </c>
      <c r="B32" s="153"/>
      <c r="C32" s="408"/>
      <c r="D32" s="408"/>
      <c r="E32" s="408"/>
      <c r="F32" s="408"/>
      <c r="G32" s="152"/>
      <c r="J32" s="154">
        <f>+D34+'crdto 2018_3'!D30+1723+18609</f>
        <v>41982</v>
      </c>
    </row>
    <row r="33" spans="1:10" x14ac:dyDescent="0.2">
      <c r="A33">
        <v>12</v>
      </c>
      <c r="B33" s="153"/>
      <c r="C33" s="408"/>
      <c r="D33" s="408"/>
      <c r="E33" s="408"/>
      <c r="F33" s="408"/>
      <c r="G33" s="152"/>
    </row>
    <row r="34" spans="1:10" x14ac:dyDescent="0.2">
      <c r="C34" s="149" t="s">
        <v>273</v>
      </c>
      <c r="D34" s="409">
        <f>SUM(D18:D33)</f>
        <v>0</v>
      </c>
      <c r="E34" s="409">
        <f>SUM(E18:E33)</f>
        <v>0</v>
      </c>
      <c r="F34" s="409">
        <f>SUM(F18:F33)</f>
        <v>0</v>
      </c>
    </row>
    <row r="35" spans="1:10" x14ac:dyDescent="0.2">
      <c r="J35" s="154"/>
    </row>
    <row r="36" spans="1:10" ht="13.5" thickBot="1" x14ac:dyDescent="0.25"/>
    <row r="37" spans="1:10" ht="13.5" thickBot="1" x14ac:dyDescent="0.25">
      <c r="B37" s="1119" t="s">
        <v>610</v>
      </c>
      <c r="C37" s="1120"/>
      <c r="D37" s="1120"/>
      <c r="E37" s="1121"/>
    </row>
    <row r="38" spans="1:10" ht="26.25" thickBot="1" x14ac:dyDescent="0.25">
      <c r="B38" s="155" t="s">
        <v>275</v>
      </c>
      <c r="C38" s="156" t="s">
        <v>276</v>
      </c>
      <c r="D38" s="157" t="s">
        <v>277</v>
      </c>
      <c r="E38" s="158" t="s">
        <v>202</v>
      </c>
    </row>
    <row r="39" spans="1:10" x14ac:dyDescent="0.2">
      <c r="B39" s="159">
        <v>2018</v>
      </c>
      <c r="C39" s="145">
        <f>SUM(E18:E20)</f>
        <v>0</v>
      </c>
      <c r="D39" s="145">
        <f>SUM(F18:F20)</f>
        <v>0</v>
      </c>
      <c r="E39" s="160">
        <f>+D39+C39</f>
        <v>0</v>
      </c>
    </row>
    <row r="40" spans="1:10" ht="13.5" thickBot="1" x14ac:dyDescent="0.25">
      <c r="B40" s="159">
        <v>2019</v>
      </c>
      <c r="C40" s="145">
        <f>SUM(E21:E23)</f>
        <v>0</v>
      </c>
      <c r="D40" s="145">
        <f>SUM(F21:F23)</f>
        <v>0</v>
      </c>
      <c r="E40" s="161">
        <f>+D40+C40</f>
        <v>0</v>
      </c>
    </row>
    <row r="41" spans="1:10" ht="13.5" thickBot="1" x14ac:dyDescent="0.25">
      <c r="B41" s="162" t="s">
        <v>202</v>
      </c>
      <c r="C41" s="410">
        <f>SUM(C39:C40)</f>
        <v>0</v>
      </c>
      <c r="D41" s="410">
        <f>SUM(D39:D40)</f>
        <v>0</v>
      </c>
      <c r="E41" s="163">
        <f>+C41+D41</f>
        <v>0</v>
      </c>
    </row>
    <row r="42" spans="1:10" x14ac:dyDescent="0.2">
      <c r="C42" s="154"/>
    </row>
    <row r="44" spans="1:10" x14ac:dyDescent="0.2">
      <c r="C44" s="154"/>
    </row>
  </sheetData>
  <mergeCells count="3">
    <mergeCell ref="B2:G2"/>
    <mergeCell ref="B7:D7"/>
    <mergeCell ref="B37:E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topLeftCell="A9" workbookViewId="0">
      <selection activeCell="M29" sqref="M29"/>
    </sheetView>
  </sheetViews>
  <sheetFormatPr baseColWidth="10" defaultRowHeight="12.75" x14ac:dyDescent="0.2"/>
  <cols>
    <col min="2" max="2" width="19.42578125" bestFit="1" customWidth="1"/>
    <col min="3" max="3" width="19.42578125" customWidth="1"/>
    <col min="4" max="4" width="26" customWidth="1"/>
    <col min="5" max="6" width="15.85546875" bestFit="1" customWidth="1"/>
    <col min="7" max="7" width="16.5703125" bestFit="1" customWidth="1"/>
    <col min="8" max="8" width="23.85546875" customWidth="1"/>
    <col min="9" max="9" width="19.28515625" customWidth="1"/>
    <col min="10" max="10" width="15.42578125" bestFit="1" customWidth="1"/>
    <col min="11" max="11" width="16.5703125" bestFit="1" customWidth="1"/>
    <col min="258" max="258" width="19.42578125" bestFit="1" customWidth="1"/>
    <col min="259" max="259" width="19.42578125" customWidth="1"/>
    <col min="260" max="260" width="17.5703125" bestFit="1" customWidth="1"/>
    <col min="261" max="262" width="15.85546875" bestFit="1" customWidth="1"/>
    <col min="263" max="263" width="16.5703125" bestFit="1" customWidth="1"/>
    <col min="266" max="266" width="15.42578125" bestFit="1" customWidth="1"/>
    <col min="267" max="267" width="16.5703125" bestFit="1" customWidth="1"/>
    <col min="514" max="514" width="19.42578125" bestFit="1" customWidth="1"/>
    <col min="515" max="515" width="19.42578125" customWidth="1"/>
    <col min="516" max="516" width="17.5703125" bestFit="1" customWidth="1"/>
    <col min="517" max="518" width="15.85546875" bestFit="1" customWidth="1"/>
    <col min="519" max="519" width="16.5703125" bestFit="1" customWidth="1"/>
    <col min="522" max="522" width="15.42578125" bestFit="1" customWidth="1"/>
    <col min="523" max="523" width="16.5703125" bestFit="1" customWidth="1"/>
    <col min="770" max="770" width="19.42578125" bestFit="1" customWidth="1"/>
    <col min="771" max="771" width="19.42578125" customWidth="1"/>
    <col min="772" max="772" width="17.5703125" bestFit="1" customWidth="1"/>
    <col min="773" max="774" width="15.85546875" bestFit="1" customWidth="1"/>
    <col min="775" max="775" width="16.5703125" bestFit="1" customWidth="1"/>
    <col min="778" max="778" width="15.42578125" bestFit="1" customWidth="1"/>
    <col min="779" max="779" width="16.5703125" bestFit="1" customWidth="1"/>
    <col min="1026" max="1026" width="19.42578125" bestFit="1" customWidth="1"/>
    <col min="1027" max="1027" width="19.42578125" customWidth="1"/>
    <col min="1028" max="1028" width="17.5703125" bestFit="1" customWidth="1"/>
    <col min="1029" max="1030" width="15.85546875" bestFit="1" customWidth="1"/>
    <col min="1031" max="1031" width="16.5703125" bestFit="1" customWidth="1"/>
    <col min="1034" max="1034" width="15.42578125" bestFit="1" customWidth="1"/>
    <col min="1035" max="1035" width="16.5703125" bestFit="1" customWidth="1"/>
    <col min="1282" max="1282" width="19.42578125" bestFit="1" customWidth="1"/>
    <col min="1283" max="1283" width="19.42578125" customWidth="1"/>
    <col min="1284" max="1284" width="17.5703125" bestFit="1" customWidth="1"/>
    <col min="1285" max="1286" width="15.85546875" bestFit="1" customWidth="1"/>
    <col min="1287" max="1287" width="16.5703125" bestFit="1" customWidth="1"/>
    <col min="1290" max="1290" width="15.42578125" bestFit="1" customWidth="1"/>
    <col min="1291" max="1291" width="16.5703125" bestFit="1" customWidth="1"/>
    <col min="1538" max="1538" width="19.42578125" bestFit="1" customWidth="1"/>
    <col min="1539" max="1539" width="19.42578125" customWidth="1"/>
    <col min="1540" max="1540" width="17.5703125" bestFit="1" customWidth="1"/>
    <col min="1541" max="1542" width="15.85546875" bestFit="1" customWidth="1"/>
    <col min="1543" max="1543" width="16.5703125" bestFit="1" customWidth="1"/>
    <col min="1546" max="1546" width="15.42578125" bestFit="1" customWidth="1"/>
    <col min="1547" max="1547" width="16.5703125" bestFit="1" customWidth="1"/>
    <col min="1794" max="1794" width="19.42578125" bestFit="1" customWidth="1"/>
    <col min="1795" max="1795" width="19.42578125" customWidth="1"/>
    <col min="1796" max="1796" width="17.5703125" bestFit="1" customWidth="1"/>
    <col min="1797" max="1798" width="15.85546875" bestFit="1" customWidth="1"/>
    <col min="1799" max="1799" width="16.5703125" bestFit="1" customWidth="1"/>
    <col min="1802" max="1802" width="15.42578125" bestFit="1" customWidth="1"/>
    <col min="1803" max="1803" width="16.5703125" bestFit="1" customWidth="1"/>
    <col min="2050" max="2050" width="19.42578125" bestFit="1" customWidth="1"/>
    <col min="2051" max="2051" width="19.42578125" customWidth="1"/>
    <col min="2052" max="2052" width="17.5703125" bestFit="1" customWidth="1"/>
    <col min="2053" max="2054" width="15.85546875" bestFit="1" customWidth="1"/>
    <col min="2055" max="2055" width="16.5703125" bestFit="1" customWidth="1"/>
    <col min="2058" max="2058" width="15.42578125" bestFit="1" customWidth="1"/>
    <col min="2059" max="2059" width="16.5703125" bestFit="1" customWidth="1"/>
    <col min="2306" max="2306" width="19.42578125" bestFit="1" customWidth="1"/>
    <col min="2307" max="2307" width="19.42578125" customWidth="1"/>
    <col min="2308" max="2308" width="17.5703125" bestFit="1" customWidth="1"/>
    <col min="2309" max="2310" width="15.85546875" bestFit="1" customWidth="1"/>
    <col min="2311" max="2311" width="16.5703125" bestFit="1" customWidth="1"/>
    <col min="2314" max="2314" width="15.42578125" bestFit="1" customWidth="1"/>
    <col min="2315" max="2315" width="16.5703125" bestFit="1" customWidth="1"/>
    <col min="2562" max="2562" width="19.42578125" bestFit="1" customWidth="1"/>
    <col min="2563" max="2563" width="19.42578125" customWidth="1"/>
    <col min="2564" max="2564" width="17.5703125" bestFit="1" customWidth="1"/>
    <col min="2565" max="2566" width="15.85546875" bestFit="1" customWidth="1"/>
    <col min="2567" max="2567" width="16.5703125" bestFit="1" customWidth="1"/>
    <col min="2570" max="2570" width="15.42578125" bestFit="1" customWidth="1"/>
    <col min="2571" max="2571" width="16.5703125" bestFit="1" customWidth="1"/>
    <col min="2818" max="2818" width="19.42578125" bestFit="1" customWidth="1"/>
    <col min="2819" max="2819" width="19.42578125" customWidth="1"/>
    <col min="2820" max="2820" width="17.5703125" bestFit="1" customWidth="1"/>
    <col min="2821" max="2822" width="15.85546875" bestFit="1" customWidth="1"/>
    <col min="2823" max="2823" width="16.5703125" bestFit="1" customWidth="1"/>
    <col min="2826" max="2826" width="15.42578125" bestFit="1" customWidth="1"/>
    <col min="2827" max="2827" width="16.5703125" bestFit="1" customWidth="1"/>
    <col min="3074" max="3074" width="19.42578125" bestFit="1" customWidth="1"/>
    <col min="3075" max="3075" width="19.42578125" customWidth="1"/>
    <col min="3076" max="3076" width="17.5703125" bestFit="1" customWidth="1"/>
    <col min="3077" max="3078" width="15.85546875" bestFit="1" customWidth="1"/>
    <col min="3079" max="3079" width="16.5703125" bestFit="1" customWidth="1"/>
    <col min="3082" max="3082" width="15.42578125" bestFit="1" customWidth="1"/>
    <col min="3083" max="3083" width="16.5703125" bestFit="1" customWidth="1"/>
    <col min="3330" max="3330" width="19.42578125" bestFit="1" customWidth="1"/>
    <col min="3331" max="3331" width="19.42578125" customWidth="1"/>
    <col min="3332" max="3332" width="17.5703125" bestFit="1" customWidth="1"/>
    <col min="3333" max="3334" width="15.85546875" bestFit="1" customWidth="1"/>
    <col min="3335" max="3335" width="16.5703125" bestFit="1" customWidth="1"/>
    <col min="3338" max="3338" width="15.42578125" bestFit="1" customWidth="1"/>
    <col min="3339" max="3339" width="16.5703125" bestFit="1" customWidth="1"/>
    <col min="3586" max="3586" width="19.42578125" bestFit="1" customWidth="1"/>
    <col min="3587" max="3587" width="19.42578125" customWidth="1"/>
    <col min="3588" max="3588" width="17.5703125" bestFit="1" customWidth="1"/>
    <col min="3589" max="3590" width="15.85546875" bestFit="1" customWidth="1"/>
    <col min="3591" max="3591" width="16.5703125" bestFit="1" customWidth="1"/>
    <col min="3594" max="3594" width="15.42578125" bestFit="1" customWidth="1"/>
    <col min="3595" max="3595" width="16.5703125" bestFit="1" customWidth="1"/>
    <col min="3842" max="3842" width="19.42578125" bestFit="1" customWidth="1"/>
    <col min="3843" max="3843" width="19.42578125" customWidth="1"/>
    <col min="3844" max="3844" width="17.5703125" bestFit="1" customWidth="1"/>
    <col min="3845" max="3846" width="15.85546875" bestFit="1" customWidth="1"/>
    <col min="3847" max="3847" width="16.5703125" bestFit="1" customWidth="1"/>
    <col min="3850" max="3850" width="15.42578125" bestFit="1" customWidth="1"/>
    <col min="3851" max="3851" width="16.5703125" bestFit="1" customWidth="1"/>
    <col min="4098" max="4098" width="19.42578125" bestFit="1" customWidth="1"/>
    <col min="4099" max="4099" width="19.42578125" customWidth="1"/>
    <col min="4100" max="4100" width="17.5703125" bestFit="1" customWidth="1"/>
    <col min="4101" max="4102" width="15.85546875" bestFit="1" customWidth="1"/>
    <col min="4103" max="4103" width="16.5703125" bestFit="1" customWidth="1"/>
    <col min="4106" max="4106" width="15.42578125" bestFit="1" customWidth="1"/>
    <col min="4107" max="4107" width="16.5703125" bestFit="1" customWidth="1"/>
    <col min="4354" max="4354" width="19.42578125" bestFit="1" customWidth="1"/>
    <col min="4355" max="4355" width="19.42578125" customWidth="1"/>
    <col min="4356" max="4356" width="17.5703125" bestFit="1" customWidth="1"/>
    <col min="4357" max="4358" width="15.85546875" bestFit="1" customWidth="1"/>
    <col min="4359" max="4359" width="16.5703125" bestFit="1" customWidth="1"/>
    <col min="4362" max="4362" width="15.42578125" bestFit="1" customWidth="1"/>
    <col min="4363" max="4363" width="16.5703125" bestFit="1" customWidth="1"/>
    <col min="4610" max="4610" width="19.42578125" bestFit="1" customWidth="1"/>
    <col min="4611" max="4611" width="19.42578125" customWidth="1"/>
    <col min="4612" max="4612" width="17.5703125" bestFit="1" customWidth="1"/>
    <col min="4613" max="4614" width="15.85546875" bestFit="1" customWidth="1"/>
    <col min="4615" max="4615" width="16.5703125" bestFit="1" customWidth="1"/>
    <col min="4618" max="4618" width="15.42578125" bestFit="1" customWidth="1"/>
    <col min="4619" max="4619" width="16.5703125" bestFit="1" customWidth="1"/>
    <col min="4866" max="4866" width="19.42578125" bestFit="1" customWidth="1"/>
    <col min="4867" max="4867" width="19.42578125" customWidth="1"/>
    <col min="4868" max="4868" width="17.5703125" bestFit="1" customWidth="1"/>
    <col min="4869" max="4870" width="15.85546875" bestFit="1" customWidth="1"/>
    <col min="4871" max="4871" width="16.5703125" bestFit="1" customWidth="1"/>
    <col min="4874" max="4874" width="15.42578125" bestFit="1" customWidth="1"/>
    <col min="4875" max="4875" width="16.5703125" bestFit="1" customWidth="1"/>
    <col min="5122" max="5122" width="19.42578125" bestFit="1" customWidth="1"/>
    <col min="5123" max="5123" width="19.42578125" customWidth="1"/>
    <col min="5124" max="5124" width="17.5703125" bestFit="1" customWidth="1"/>
    <col min="5125" max="5126" width="15.85546875" bestFit="1" customWidth="1"/>
    <col min="5127" max="5127" width="16.5703125" bestFit="1" customWidth="1"/>
    <col min="5130" max="5130" width="15.42578125" bestFit="1" customWidth="1"/>
    <col min="5131" max="5131" width="16.5703125" bestFit="1" customWidth="1"/>
    <col min="5378" max="5378" width="19.42578125" bestFit="1" customWidth="1"/>
    <col min="5379" max="5379" width="19.42578125" customWidth="1"/>
    <col min="5380" max="5380" width="17.5703125" bestFit="1" customWidth="1"/>
    <col min="5381" max="5382" width="15.85546875" bestFit="1" customWidth="1"/>
    <col min="5383" max="5383" width="16.5703125" bestFit="1" customWidth="1"/>
    <col min="5386" max="5386" width="15.42578125" bestFit="1" customWidth="1"/>
    <col min="5387" max="5387" width="16.5703125" bestFit="1" customWidth="1"/>
    <col min="5634" max="5634" width="19.42578125" bestFit="1" customWidth="1"/>
    <col min="5635" max="5635" width="19.42578125" customWidth="1"/>
    <col min="5636" max="5636" width="17.5703125" bestFit="1" customWidth="1"/>
    <col min="5637" max="5638" width="15.85546875" bestFit="1" customWidth="1"/>
    <col min="5639" max="5639" width="16.5703125" bestFit="1" customWidth="1"/>
    <col min="5642" max="5642" width="15.42578125" bestFit="1" customWidth="1"/>
    <col min="5643" max="5643" width="16.5703125" bestFit="1" customWidth="1"/>
    <col min="5890" max="5890" width="19.42578125" bestFit="1" customWidth="1"/>
    <col min="5891" max="5891" width="19.42578125" customWidth="1"/>
    <col min="5892" max="5892" width="17.5703125" bestFit="1" customWidth="1"/>
    <col min="5893" max="5894" width="15.85546875" bestFit="1" customWidth="1"/>
    <col min="5895" max="5895" width="16.5703125" bestFit="1" customWidth="1"/>
    <col min="5898" max="5898" width="15.42578125" bestFit="1" customWidth="1"/>
    <col min="5899" max="5899" width="16.5703125" bestFit="1" customWidth="1"/>
    <col min="6146" max="6146" width="19.42578125" bestFit="1" customWidth="1"/>
    <col min="6147" max="6147" width="19.42578125" customWidth="1"/>
    <col min="6148" max="6148" width="17.5703125" bestFit="1" customWidth="1"/>
    <col min="6149" max="6150" width="15.85546875" bestFit="1" customWidth="1"/>
    <col min="6151" max="6151" width="16.5703125" bestFit="1" customWidth="1"/>
    <col min="6154" max="6154" width="15.42578125" bestFit="1" customWidth="1"/>
    <col min="6155" max="6155" width="16.5703125" bestFit="1" customWidth="1"/>
    <col min="6402" max="6402" width="19.42578125" bestFit="1" customWidth="1"/>
    <col min="6403" max="6403" width="19.42578125" customWidth="1"/>
    <col min="6404" max="6404" width="17.5703125" bestFit="1" customWidth="1"/>
    <col min="6405" max="6406" width="15.85546875" bestFit="1" customWidth="1"/>
    <col min="6407" max="6407" width="16.5703125" bestFit="1" customWidth="1"/>
    <col min="6410" max="6410" width="15.42578125" bestFit="1" customWidth="1"/>
    <col min="6411" max="6411" width="16.5703125" bestFit="1" customWidth="1"/>
    <col min="6658" max="6658" width="19.42578125" bestFit="1" customWidth="1"/>
    <col min="6659" max="6659" width="19.42578125" customWidth="1"/>
    <col min="6660" max="6660" width="17.5703125" bestFit="1" customWidth="1"/>
    <col min="6661" max="6662" width="15.85546875" bestFit="1" customWidth="1"/>
    <col min="6663" max="6663" width="16.5703125" bestFit="1" customWidth="1"/>
    <col min="6666" max="6666" width="15.42578125" bestFit="1" customWidth="1"/>
    <col min="6667" max="6667" width="16.5703125" bestFit="1" customWidth="1"/>
    <col min="6914" max="6914" width="19.42578125" bestFit="1" customWidth="1"/>
    <col min="6915" max="6915" width="19.42578125" customWidth="1"/>
    <col min="6916" max="6916" width="17.5703125" bestFit="1" customWidth="1"/>
    <col min="6917" max="6918" width="15.85546875" bestFit="1" customWidth="1"/>
    <col min="6919" max="6919" width="16.5703125" bestFit="1" customWidth="1"/>
    <col min="6922" max="6922" width="15.42578125" bestFit="1" customWidth="1"/>
    <col min="6923" max="6923" width="16.5703125" bestFit="1" customWidth="1"/>
    <col min="7170" max="7170" width="19.42578125" bestFit="1" customWidth="1"/>
    <col min="7171" max="7171" width="19.42578125" customWidth="1"/>
    <col min="7172" max="7172" width="17.5703125" bestFit="1" customWidth="1"/>
    <col min="7173" max="7174" width="15.85546875" bestFit="1" customWidth="1"/>
    <col min="7175" max="7175" width="16.5703125" bestFit="1" customWidth="1"/>
    <col min="7178" max="7178" width="15.42578125" bestFit="1" customWidth="1"/>
    <col min="7179" max="7179" width="16.5703125" bestFit="1" customWidth="1"/>
    <col min="7426" max="7426" width="19.42578125" bestFit="1" customWidth="1"/>
    <col min="7427" max="7427" width="19.42578125" customWidth="1"/>
    <col min="7428" max="7428" width="17.5703125" bestFit="1" customWidth="1"/>
    <col min="7429" max="7430" width="15.85546875" bestFit="1" customWidth="1"/>
    <col min="7431" max="7431" width="16.5703125" bestFit="1" customWidth="1"/>
    <col min="7434" max="7434" width="15.42578125" bestFit="1" customWidth="1"/>
    <col min="7435" max="7435" width="16.5703125" bestFit="1" customWidth="1"/>
    <col min="7682" max="7682" width="19.42578125" bestFit="1" customWidth="1"/>
    <col min="7683" max="7683" width="19.42578125" customWidth="1"/>
    <col min="7684" max="7684" width="17.5703125" bestFit="1" customWidth="1"/>
    <col min="7685" max="7686" width="15.85546875" bestFit="1" customWidth="1"/>
    <col min="7687" max="7687" width="16.5703125" bestFit="1" customWidth="1"/>
    <col min="7690" max="7690" width="15.42578125" bestFit="1" customWidth="1"/>
    <col min="7691" max="7691" width="16.5703125" bestFit="1" customWidth="1"/>
    <col min="7938" max="7938" width="19.42578125" bestFit="1" customWidth="1"/>
    <col min="7939" max="7939" width="19.42578125" customWidth="1"/>
    <col min="7940" max="7940" width="17.5703125" bestFit="1" customWidth="1"/>
    <col min="7941" max="7942" width="15.85546875" bestFit="1" customWidth="1"/>
    <col min="7943" max="7943" width="16.5703125" bestFit="1" customWidth="1"/>
    <col min="7946" max="7946" width="15.42578125" bestFit="1" customWidth="1"/>
    <col min="7947" max="7947" width="16.5703125" bestFit="1" customWidth="1"/>
    <col min="8194" max="8194" width="19.42578125" bestFit="1" customWidth="1"/>
    <col min="8195" max="8195" width="19.42578125" customWidth="1"/>
    <col min="8196" max="8196" width="17.5703125" bestFit="1" customWidth="1"/>
    <col min="8197" max="8198" width="15.85546875" bestFit="1" customWidth="1"/>
    <col min="8199" max="8199" width="16.5703125" bestFit="1" customWidth="1"/>
    <col min="8202" max="8202" width="15.42578125" bestFit="1" customWidth="1"/>
    <col min="8203" max="8203" width="16.5703125" bestFit="1" customWidth="1"/>
    <col min="8450" max="8450" width="19.42578125" bestFit="1" customWidth="1"/>
    <col min="8451" max="8451" width="19.42578125" customWidth="1"/>
    <col min="8452" max="8452" width="17.5703125" bestFit="1" customWidth="1"/>
    <col min="8453" max="8454" width="15.85546875" bestFit="1" customWidth="1"/>
    <col min="8455" max="8455" width="16.5703125" bestFit="1" customWidth="1"/>
    <col min="8458" max="8458" width="15.42578125" bestFit="1" customWidth="1"/>
    <col min="8459" max="8459" width="16.5703125" bestFit="1" customWidth="1"/>
    <col min="8706" max="8706" width="19.42578125" bestFit="1" customWidth="1"/>
    <col min="8707" max="8707" width="19.42578125" customWidth="1"/>
    <col min="8708" max="8708" width="17.5703125" bestFit="1" customWidth="1"/>
    <col min="8709" max="8710" width="15.85546875" bestFit="1" customWidth="1"/>
    <col min="8711" max="8711" width="16.5703125" bestFit="1" customWidth="1"/>
    <col min="8714" max="8714" width="15.42578125" bestFit="1" customWidth="1"/>
    <col min="8715" max="8715" width="16.5703125" bestFit="1" customWidth="1"/>
    <col min="8962" max="8962" width="19.42578125" bestFit="1" customWidth="1"/>
    <col min="8963" max="8963" width="19.42578125" customWidth="1"/>
    <col min="8964" max="8964" width="17.5703125" bestFit="1" customWidth="1"/>
    <col min="8965" max="8966" width="15.85546875" bestFit="1" customWidth="1"/>
    <col min="8967" max="8967" width="16.5703125" bestFit="1" customWidth="1"/>
    <col min="8970" max="8970" width="15.42578125" bestFit="1" customWidth="1"/>
    <col min="8971" max="8971" width="16.5703125" bestFit="1" customWidth="1"/>
    <col min="9218" max="9218" width="19.42578125" bestFit="1" customWidth="1"/>
    <col min="9219" max="9219" width="19.42578125" customWidth="1"/>
    <col min="9220" max="9220" width="17.5703125" bestFit="1" customWidth="1"/>
    <col min="9221" max="9222" width="15.85546875" bestFit="1" customWidth="1"/>
    <col min="9223" max="9223" width="16.5703125" bestFit="1" customWidth="1"/>
    <col min="9226" max="9226" width="15.42578125" bestFit="1" customWidth="1"/>
    <col min="9227" max="9227" width="16.5703125" bestFit="1" customWidth="1"/>
    <col min="9474" max="9474" width="19.42578125" bestFit="1" customWidth="1"/>
    <col min="9475" max="9475" width="19.42578125" customWidth="1"/>
    <col min="9476" max="9476" width="17.5703125" bestFit="1" customWidth="1"/>
    <col min="9477" max="9478" width="15.85546875" bestFit="1" customWidth="1"/>
    <col min="9479" max="9479" width="16.5703125" bestFit="1" customWidth="1"/>
    <col min="9482" max="9482" width="15.42578125" bestFit="1" customWidth="1"/>
    <col min="9483" max="9483" width="16.5703125" bestFit="1" customWidth="1"/>
    <col min="9730" max="9730" width="19.42578125" bestFit="1" customWidth="1"/>
    <col min="9731" max="9731" width="19.42578125" customWidth="1"/>
    <col min="9732" max="9732" width="17.5703125" bestFit="1" customWidth="1"/>
    <col min="9733" max="9734" width="15.85546875" bestFit="1" customWidth="1"/>
    <col min="9735" max="9735" width="16.5703125" bestFit="1" customWidth="1"/>
    <col min="9738" max="9738" width="15.42578125" bestFit="1" customWidth="1"/>
    <col min="9739" max="9739" width="16.5703125" bestFit="1" customWidth="1"/>
    <col min="9986" max="9986" width="19.42578125" bestFit="1" customWidth="1"/>
    <col min="9987" max="9987" width="19.42578125" customWidth="1"/>
    <col min="9988" max="9988" width="17.5703125" bestFit="1" customWidth="1"/>
    <col min="9989" max="9990" width="15.85546875" bestFit="1" customWidth="1"/>
    <col min="9991" max="9991" width="16.5703125" bestFit="1" customWidth="1"/>
    <col min="9994" max="9994" width="15.42578125" bestFit="1" customWidth="1"/>
    <col min="9995" max="9995" width="16.5703125" bestFit="1" customWidth="1"/>
    <col min="10242" max="10242" width="19.42578125" bestFit="1" customWidth="1"/>
    <col min="10243" max="10243" width="19.42578125" customWidth="1"/>
    <col min="10244" max="10244" width="17.5703125" bestFit="1" customWidth="1"/>
    <col min="10245" max="10246" width="15.85546875" bestFit="1" customWidth="1"/>
    <col min="10247" max="10247" width="16.5703125" bestFit="1" customWidth="1"/>
    <col min="10250" max="10250" width="15.42578125" bestFit="1" customWidth="1"/>
    <col min="10251" max="10251" width="16.5703125" bestFit="1" customWidth="1"/>
    <col min="10498" max="10498" width="19.42578125" bestFit="1" customWidth="1"/>
    <col min="10499" max="10499" width="19.42578125" customWidth="1"/>
    <col min="10500" max="10500" width="17.5703125" bestFit="1" customWidth="1"/>
    <col min="10501" max="10502" width="15.85546875" bestFit="1" customWidth="1"/>
    <col min="10503" max="10503" width="16.5703125" bestFit="1" customWidth="1"/>
    <col min="10506" max="10506" width="15.42578125" bestFit="1" customWidth="1"/>
    <col min="10507" max="10507" width="16.5703125" bestFit="1" customWidth="1"/>
    <col min="10754" max="10754" width="19.42578125" bestFit="1" customWidth="1"/>
    <col min="10755" max="10755" width="19.42578125" customWidth="1"/>
    <col min="10756" max="10756" width="17.5703125" bestFit="1" customWidth="1"/>
    <col min="10757" max="10758" width="15.85546875" bestFit="1" customWidth="1"/>
    <col min="10759" max="10759" width="16.5703125" bestFit="1" customWidth="1"/>
    <col min="10762" max="10762" width="15.42578125" bestFit="1" customWidth="1"/>
    <col min="10763" max="10763" width="16.5703125" bestFit="1" customWidth="1"/>
    <col min="11010" max="11010" width="19.42578125" bestFit="1" customWidth="1"/>
    <col min="11011" max="11011" width="19.42578125" customWidth="1"/>
    <col min="11012" max="11012" width="17.5703125" bestFit="1" customWidth="1"/>
    <col min="11013" max="11014" width="15.85546875" bestFit="1" customWidth="1"/>
    <col min="11015" max="11015" width="16.5703125" bestFit="1" customWidth="1"/>
    <col min="11018" max="11018" width="15.42578125" bestFit="1" customWidth="1"/>
    <col min="11019" max="11019" width="16.5703125" bestFit="1" customWidth="1"/>
    <col min="11266" max="11266" width="19.42578125" bestFit="1" customWidth="1"/>
    <col min="11267" max="11267" width="19.42578125" customWidth="1"/>
    <col min="11268" max="11268" width="17.5703125" bestFit="1" customWidth="1"/>
    <col min="11269" max="11270" width="15.85546875" bestFit="1" customWidth="1"/>
    <col min="11271" max="11271" width="16.5703125" bestFit="1" customWidth="1"/>
    <col min="11274" max="11274" width="15.42578125" bestFit="1" customWidth="1"/>
    <col min="11275" max="11275" width="16.5703125" bestFit="1" customWidth="1"/>
    <col min="11522" max="11522" width="19.42578125" bestFit="1" customWidth="1"/>
    <col min="11523" max="11523" width="19.42578125" customWidth="1"/>
    <col min="11524" max="11524" width="17.5703125" bestFit="1" customWidth="1"/>
    <col min="11525" max="11526" width="15.85546875" bestFit="1" customWidth="1"/>
    <col min="11527" max="11527" width="16.5703125" bestFit="1" customWidth="1"/>
    <col min="11530" max="11530" width="15.42578125" bestFit="1" customWidth="1"/>
    <col min="11531" max="11531" width="16.5703125" bestFit="1" customWidth="1"/>
    <col min="11778" max="11778" width="19.42578125" bestFit="1" customWidth="1"/>
    <col min="11779" max="11779" width="19.42578125" customWidth="1"/>
    <col min="11780" max="11780" width="17.5703125" bestFit="1" customWidth="1"/>
    <col min="11781" max="11782" width="15.85546875" bestFit="1" customWidth="1"/>
    <col min="11783" max="11783" width="16.5703125" bestFit="1" customWidth="1"/>
    <col min="11786" max="11786" width="15.42578125" bestFit="1" customWidth="1"/>
    <col min="11787" max="11787" width="16.5703125" bestFit="1" customWidth="1"/>
    <col min="12034" max="12034" width="19.42578125" bestFit="1" customWidth="1"/>
    <col min="12035" max="12035" width="19.42578125" customWidth="1"/>
    <col min="12036" max="12036" width="17.5703125" bestFit="1" customWidth="1"/>
    <col min="12037" max="12038" width="15.85546875" bestFit="1" customWidth="1"/>
    <col min="12039" max="12039" width="16.5703125" bestFit="1" customWidth="1"/>
    <col min="12042" max="12042" width="15.42578125" bestFit="1" customWidth="1"/>
    <col min="12043" max="12043" width="16.5703125" bestFit="1" customWidth="1"/>
    <col min="12290" max="12290" width="19.42578125" bestFit="1" customWidth="1"/>
    <col min="12291" max="12291" width="19.42578125" customWidth="1"/>
    <col min="12292" max="12292" width="17.5703125" bestFit="1" customWidth="1"/>
    <col min="12293" max="12294" width="15.85546875" bestFit="1" customWidth="1"/>
    <col min="12295" max="12295" width="16.5703125" bestFit="1" customWidth="1"/>
    <col min="12298" max="12298" width="15.42578125" bestFit="1" customWidth="1"/>
    <col min="12299" max="12299" width="16.5703125" bestFit="1" customWidth="1"/>
    <col min="12546" max="12546" width="19.42578125" bestFit="1" customWidth="1"/>
    <col min="12547" max="12547" width="19.42578125" customWidth="1"/>
    <col min="12548" max="12548" width="17.5703125" bestFit="1" customWidth="1"/>
    <col min="12549" max="12550" width="15.85546875" bestFit="1" customWidth="1"/>
    <col min="12551" max="12551" width="16.5703125" bestFit="1" customWidth="1"/>
    <col min="12554" max="12554" width="15.42578125" bestFit="1" customWidth="1"/>
    <col min="12555" max="12555" width="16.5703125" bestFit="1" customWidth="1"/>
    <col min="12802" max="12802" width="19.42578125" bestFit="1" customWidth="1"/>
    <col min="12803" max="12803" width="19.42578125" customWidth="1"/>
    <col min="12804" max="12804" width="17.5703125" bestFit="1" customWidth="1"/>
    <col min="12805" max="12806" width="15.85546875" bestFit="1" customWidth="1"/>
    <col min="12807" max="12807" width="16.5703125" bestFit="1" customWidth="1"/>
    <col min="12810" max="12810" width="15.42578125" bestFit="1" customWidth="1"/>
    <col min="12811" max="12811" width="16.5703125" bestFit="1" customWidth="1"/>
    <col min="13058" max="13058" width="19.42578125" bestFit="1" customWidth="1"/>
    <col min="13059" max="13059" width="19.42578125" customWidth="1"/>
    <col min="13060" max="13060" width="17.5703125" bestFit="1" customWidth="1"/>
    <col min="13061" max="13062" width="15.85546875" bestFit="1" customWidth="1"/>
    <col min="13063" max="13063" width="16.5703125" bestFit="1" customWidth="1"/>
    <col min="13066" max="13066" width="15.42578125" bestFit="1" customWidth="1"/>
    <col min="13067" max="13067" width="16.5703125" bestFit="1" customWidth="1"/>
    <col min="13314" max="13314" width="19.42578125" bestFit="1" customWidth="1"/>
    <col min="13315" max="13315" width="19.42578125" customWidth="1"/>
    <col min="13316" max="13316" width="17.5703125" bestFit="1" customWidth="1"/>
    <col min="13317" max="13318" width="15.85546875" bestFit="1" customWidth="1"/>
    <col min="13319" max="13319" width="16.5703125" bestFit="1" customWidth="1"/>
    <col min="13322" max="13322" width="15.42578125" bestFit="1" customWidth="1"/>
    <col min="13323" max="13323" width="16.5703125" bestFit="1" customWidth="1"/>
    <col min="13570" max="13570" width="19.42578125" bestFit="1" customWidth="1"/>
    <col min="13571" max="13571" width="19.42578125" customWidth="1"/>
    <col min="13572" max="13572" width="17.5703125" bestFit="1" customWidth="1"/>
    <col min="13573" max="13574" width="15.85546875" bestFit="1" customWidth="1"/>
    <col min="13575" max="13575" width="16.5703125" bestFit="1" customWidth="1"/>
    <col min="13578" max="13578" width="15.42578125" bestFit="1" customWidth="1"/>
    <col min="13579" max="13579" width="16.5703125" bestFit="1" customWidth="1"/>
    <col min="13826" max="13826" width="19.42578125" bestFit="1" customWidth="1"/>
    <col min="13827" max="13827" width="19.42578125" customWidth="1"/>
    <col min="13828" max="13828" width="17.5703125" bestFit="1" customWidth="1"/>
    <col min="13829" max="13830" width="15.85546875" bestFit="1" customWidth="1"/>
    <col min="13831" max="13831" width="16.5703125" bestFit="1" customWidth="1"/>
    <col min="13834" max="13834" width="15.42578125" bestFit="1" customWidth="1"/>
    <col min="13835" max="13835" width="16.5703125" bestFit="1" customWidth="1"/>
    <col min="14082" max="14082" width="19.42578125" bestFit="1" customWidth="1"/>
    <col min="14083" max="14083" width="19.42578125" customWidth="1"/>
    <col min="14084" max="14084" width="17.5703125" bestFit="1" customWidth="1"/>
    <col min="14085" max="14086" width="15.85546875" bestFit="1" customWidth="1"/>
    <col min="14087" max="14087" width="16.5703125" bestFit="1" customWidth="1"/>
    <col min="14090" max="14090" width="15.42578125" bestFit="1" customWidth="1"/>
    <col min="14091" max="14091" width="16.5703125" bestFit="1" customWidth="1"/>
    <col min="14338" max="14338" width="19.42578125" bestFit="1" customWidth="1"/>
    <col min="14339" max="14339" width="19.42578125" customWidth="1"/>
    <col min="14340" max="14340" width="17.5703125" bestFit="1" customWidth="1"/>
    <col min="14341" max="14342" width="15.85546875" bestFit="1" customWidth="1"/>
    <col min="14343" max="14343" width="16.5703125" bestFit="1" customWidth="1"/>
    <col min="14346" max="14346" width="15.42578125" bestFit="1" customWidth="1"/>
    <col min="14347" max="14347" width="16.5703125" bestFit="1" customWidth="1"/>
    <col min="14594" max="14594" width="19.42578125" bestFit="1" customWidth="1"/>
    <col min="14595" max="14595" width="19.42578125" customWidth="1"/>
    <col min="14596" max="14596" width="17.5703125" bestFit="1" customWidth="1"/>
    <col min="14597" max="14598" width="15.85546875" bestFit="1" customWidth="1"/>
    <col min="14599" max="14599" width="16.5703125" bestFit="1" customWidth="1"/>
    <col min="14602" max="14602" width="15.42578125" bestFit="1" customWidth="1"/>
    <col min="14603" max="14603" width="16.5703125" bestFit="1" customWidth="1"/>
    <col min="14850" max="14850" width="19.42578125" bestFit="1" customWidth="1"/>
    <col min="14851" max="14851" width="19.42578125" customWidth="1"/>
    <col min="14852" max="14852" width="17.5703125" bestFit="1" customWidth="1"/>
    <col min="14853" max="14854" width="15.85546875" bestFit="1" customWidth="1"/>
    <col min="14855" max="14855" width="16.5703125" bestFit="1" customWidth="1"/>
    <col min="14858" max="14858" width="15.42578125" bestFit="1" customWidth="1"/>
    <col min="14859" max="14859" width="16.5703125" bestFit="1" customWidth="1"/>
    <col min="15106" max="15106" width="19.42578125" bestFit="1" customWidth="1"/>
    <col min="15107" max="15107" width="19.42578125" customWidth="1"/>
    <col min="15108" max="15108" width="17.5703125" bestFit="1" customWidth="1"/>
    <col min="15109" max="15110" width="15.85546875" bestFit="1" customWidth="1"/>
    <col min="15111" max="15111" width="16.5703125" bestFit="1" customWidth="1"/>
    <col min="15114" max="15114" width="15.42578125" bestFit="1" customWidth="1"/>
    <col min="15115" max="15115" width="16.5703125" bestFit="1" customWidth="1"/>
    <col min="15362" max="15362" width="19.42578125" bestFit="1" customWidth="1"/>
    <col min="15363" max="15363" width="19.42578125" customWidth="1"/>
    <col min="15364" max="15364" width="17.5703125" bestFit="1" customWidth="1"/>
    <col min="15365" max="15366" width="15.85546875" bestFit="1" customWidth="1"/>
    <col min="15367" max="15367" width="16.5703125" bestFit="1" customWidth="1"/>
    <col min="15370" max="15370" width="15.42578125" bestFit="1" customWidth="1"/>
    <col min="15371" max="15371" width="16.5703125" bestFit="1" customWidth="1"/>
    <col min="15618" max="15618" width="19.42578125" bestFit="1" customWidth="1"/>
    <col min="15619" max="15619" width="19.42578125" customWidth="1"/>
    <col min="15620" max="15620" width="17.5703125" bestFit="1" customWidth="1"/>
    <col min="15621" max="15622" width="15.85546875" bestFit="1" customWidth="1"/>
    <col min="15623" max="15623" width="16.5703125" bestFit="1" customWidth="1"/>
    <col min="15626" max="15626" width="15.42578125" bestFit="1" customWidth="1"/>
    <col min="15627" max="15627" width="16.5703125" bestFit="1" customWidth="1"/>
    <col min="15874" max="15874" width="19.42578125" bestFit="1" customWidth="1"/>
    <col min="15875" max="15875" width="19.42578125" customWidth="1"/>
    <col min="15876" max="15876" width="17.5703125" bestFit="1" customWidth="1"/>
    <col min="15877" max="15878" width="15.85546875" bestFit="1" customWidth="1"/>
    <col min="15879" max="15879" width="16.5703125" bestFit="1" customWidth="1"/>
    <col min="15882" max="15882" width="15.42578125" bestFit="1" customWidth="1"/>
    <col min="15883" max="15883" width="16.5703125" bestFit="1" customWidth="1"/>
    <col min="16130" max="16130" width="19.42578125" bestFit="1" customWidth="1"/>
    <col min="16131" max="16131" width="19.42578125" customWidth="1"/>
    <col min="16132" max="16132" width="17.5703125" bestFit="1" customWidth="1"/>
    <col min="16133" max="16134" width="15.85546875" bestFit="1" customWidth="1"/>
    <col min="16135" max="16135" width="16.5703125" bestFit="1" customWidth="1"/>
    <col min="16138" max="16138" width="15.42578125" bestFit="1" customWidth="1"/>
    <col min="16139" max="16139" width="16.5703125" bestFit="1" customWidth="1"/>
  </cols>
  <sheetData>
    <row r="1" spans="1:11" x14ac:dyDescent="0.2">
      <c r="A1" s="478"/>
      <c r="B1" s="479"/>
    </row>
    <row r="2" spans="1:11" x14ac:dyDescent="0.2">
      <c r="B2" s="1117" t="s">
        <v>260</v>
      </c>
      <c r="C2" s="1117"/>
      <c r="D2" s="1117"/>
      <c r="E2" s="1117"/>
      <c r="F2" s="1117"/>
      <c r="G2" s="1117"/>
      <c r="H2" s="140"/>
    </row>
    <row r="3" spans="1:11" x14ac:dyDescent="0.2">
      <c r="C3" s="140"/>
    </row>
    <row r="4" spans="1:11" x14ac:dyDescent="0.2">
      <c r="B4" s="620" t="s">
        <v>261</v>
      </c>
      <c r="C4" s="620"/>
      <c r="D4" s="401">
        <f>POA!DG412</f>
        <v>20000</v>
      </c>
    </row>
    <row r="5" spans="1:11" x14ac:dyDescent="0.2">
      <c r="B5" s="620" t="s">
        <v>262</v>
      </c>
      <c r="C5" s="620"/>
      <c r="D5" s="620" t="s">
        <v>576</v>
      </c>
      <c r="E5" s="141" t="s">
        <v>263</v>
      </c>
      <c r="F5" s="142">
        <v>7.0000000000000007E-2</v>
      </c>
      <c r="G5" t="s">
        <v>264</v>
      </c>
      <c r="H5" s="149"/>
      <c r="I5" s="402"/>
    </row>
    <row r="6" spans="1:11" x14ac:dyDescent="0.2">
      <c r="B6" s="620"/>
      <c r="D6" s="620"/>
      <c r="E6" s="141" t="s">
        <v>265</v>
      </c>
      <c r="F6" s="143">
        <v>0.04</v>
      </c>
    </row>
    <row r="7" spans="1:11" x14ac:dyDescent="0.2">
      <c r="B7" s="1118" t="s">
        <v>266</v>
      </c>
      <c r="C7" s="1118"/>
      <c r="D7" s="1118"/>
      <c r="E7" s="141"/>
    </row>
    <row r="8" spans="1:11" x14ac:dyDescent="0.2">
      <c r="B8" s="144"/>
      <c r="C8" s="144"/>
      <c r="D8" s="145"/>
      <c r="E8" s="141"/>
    </row>
    <row r="9" spans="1:11" x14ac:dyDescent="0.2">
      <c r="B9" s="144"/>
      <c r="C9" s="289"/>
      <c r="D9" s="145"/>
      <c r="F9" s="146">
        <f>+F5+F6</f>
        <v>0.11000000000000001</v>
      </c>
      <c r="G9" t="s">
        <v>264</v>
      </c>
    </row>
    <row r="10" spans="1:11" x14ac:dyDescent="0.2">
      <c r="B10" s="144"/>
      <c r="C10" s="403"/>
      <c r="D10" s="145"/>
      <c r="F10" s="146"/>
    </row>
    <row r="11" spans="1:11" x14ac:dyDescent="0.2">
      <c r="B11" s="147">
        <v>2017</v>
      </c>
      <c r="C11" s="458">
        <v>43344</v>
      </c>
      <c r="D11" s="148">
        <f>D4</f>
        <v>20000</v>
      </c>
    </row>
    <row r="12" spans="1:11" x14ac:dyDescent="0.2">
      <c r="B12" s="144"/>
      <c r="C12" s="144"/>
      <c r="D12" s="145"/>
      <c r="F12" s="404">
        <f>+((1+(F9/4))^(4))-1</f>
        <v>0.11462125941406276</v>
      </c>
      <c r="G12" t="s">
        <v>267</v>
      </c>
    </row>
    <row r="13" spans="1:11" x14ac:dyDescent="0.2">
      <c r="B13" s="147"/>
      <c r="C13" s="147"/>
      <c r="D13" s="148"/>
    </row>
    <row r="14" spans="1:11" x14ac:dyDescent="0.2">
      <c r="B14" s="149" t="s">
        <v>101</v>
      </c>
      <c r="C14" s="149"/>
      <c r="D14" s="405">
        <f>+SUM(D9:D13)</f>
        <v>20000</v>
      </c>
      <c r="F14" s="150">
        <f>+((1+F12)^(1/4))-1</f>
        <v>2.750000000000008E-2</v>
      </c>
      <c r="G14" s="140" t="s">
        <v>268</v>
      </c>
      <c r="H14" s="406"/>
      <c r="K14" s="407"/>
    </row>
    <row r="15" spans="1:11" x14ac:dyDescent="0.2">
      <c r="F15" s="146"/>
    </row>
    <row r="16" spans="1:11" x14ac:dyDescent="0.2">
      <c r="C16" s="151" t="s">
        <v>269</v>
      </c>
      <c r="D16" s="151" t="s">
        <v>230</v>
      </c>
      <c r="E16" s="151" t="s">
        <v>270</v>
      </c>
      <c r="F16" s="151" t="s">
        <v>271</v>
      </c>
      <c r="G16" s="151" t="s">
        <v>272</v>
      </c>
    </row>
    <row r="17" spans="1:10" x14ac:dyDescent="0.2">
      <c r="B17" s="153">
        <v>43344</v>
      </c>
      <c r="C17" s="408">
        <f>D11</f>
        <v>20000</v>
      </c>
      <c r="D17" s="408"/>
      <c r="E17" s="408">
        <v>0</v>
      </c>
      <c r="F17" s="408"/>
      <c r="G17" s="152">
        <f>+C17</f>
        <v>20000</v>
      </c>
    </row>
    <row r="18" spans="1:10" x14ac:dyDescent="0.2">
      <c r="A18">
        <v>1</v>
      </c>
      <c r="B18" s="153">
        <v>43435</v>
      </c>
      <c r="C18" s="408"/>
      <c r="D18" s="408">
        <f>+E18+F18</f>
        <v>4550.0000000000018</v>
      </c>
      <c r="E18" s="408">
        <f>G17*$F$14</f>
        <v>550.00000000000159</v>
      </c>
      <c r="F18" s="408">
        <f>+$D$11/5</f>
        <v>4000</v>
      </c>
      <c r="G18" s="152">
        <f>G17+C18-F18</f>
        <v>16000</v>
      </c>
    </row>
    <row r="19" spans="1:10" x14ac:dyDescent="0.2">
      <c r="A19">
        <v>2</v>
      </c>
      <c r="B19" s="153">
        <v>43525</v>
      </c>
      <c r="C19" s="408">
        <v>0</v>
      </c>
      <c r="D19" s="408">
        <f>+E19+F19</f>
        <v>4440.0000000000009</v>
      </c>
      <c r="E19" s="408">
        <f>G18*$F$14</f>
        <v>440.00000000000125</v>
      </c>
      <c r="F19" s="408">
        <f>+$D$11/5</f>
        <v>4000</v>
      </c>
      <c r="G19" s="152">
        <f>G18+C19-F19</f>
        <v>12000</v>
      </c>
    </row>
    <row r="20" spans="1:10" x14ac:dyDescent="0.2">
      <c r="A20">
        <v>3</v>
      </c>
      <c r="B20" s="153">
        <v>43617</v>
      </c>
      <c r="C20" s="408"/>
      <c r="D20" s="408">
        <f>+E20+F20</f>
        <v>4330.0000000000009</v>
      </c>
      <c r="E20" s="408">
        <f>G19*$F$14</f>
        <v>330.00000000000097</v>
      </c>
      <c r="F20" s="408">
        <f>+$D$11/5</f>
        <v>4000</v>
      </c>
      <c r="G20" s="152">
        <f>G19+C20-F20</f>
        <v>8000</v>
      </c>
    </row>
    <row r="21" spans="1:10" x14ac:dyDescent="0.2">
      <c r="A21">
        <v>4</v>
      </c>
      <c r="B21" s="153">
        <v>43709</v>
      </c>
      <c r="C21" s="408"/>
      <c r="D21" s="408">
        <f>+E21+F21</f>
        <v>4220.0000000000009</v>
      </c>
      <c r="E21" s="408">
        <f>G20*$F$14</f>
        <v>220.00000000000063</v>
      </c>
      <c r="F21" s="408">
        <f>+$D$11/5</f>
        <v>4000</v>
      </c>
      <c r="G21" s="152">
        <f>G20+C21-F21</f>
        <v>4000</v>
      </c>
    </row>
    <row r="22" spans="1:10" x14ac:dyDescent="0.2">
      <c r="A22">
        <v>5</v>
      </c>
      <c r="B22" s="153">
        <v>43800</v>
      </c>
      <c r="C22" s="408"/>
      <c r="D22" s="408">
        <f>+E22+F22</f>
        <v>4110</v>
      </c>
      <c r="E22" s="408">
        <f>G21*$F$14</f>
        <v>110.00000000000031</v>
      </c>
      <c r="F22" s="408">
        <f>+$D$11/5</f>
        <v>4000</v>
      </c>
      <c r="G22" s="152">
        <f>G21+C22-F22</f>
        <v>0</v>
      </c>
    </row>
    <row r="23" spans="1:10" x14ac:dyDescent="0.2">
      <c r="A23">
        <v>6</v>
      </c>
      <c r="B23" s="153"/>
      <c r="C23" s="408"/>
      <c r="D23" s="408"/>
      <c r="E23" s="408"/>
      <c r="F23" s="408"/>
      <c r="G23" s="152"/>
    </row>
    <row r="24" spans="1:10" x14ac:dyDescent="0.2">
      <c r="A24">
        <v>7</v>
      </c>
      <c r="B24" s="153"/>
      <c r="C24" s="408"/>
      <c r="D24" s="408"/>
      <c r="E24" s="408"/>
      <c r="F24" s="408"/>
      <c r="G24" s="152"/>
      <c r="J24" s="154"/>
    </row>
    <row r="25" spans="1:10" x14ac:dyDescent="0.2">
      <c r="A25">
        <v>8</v>
      </c>
      <c r="B25" s="153"/>
      <c r="C25" s="408"/>
      <c r="D25" s="408"/>
      <c r="E25" s="408"/>
      <c r="F25" s="408"/>
      <c r="G25" s="152"/>
    </row>
    <row r="26" spans="1:10" x14ac:dyDescent="0.2">
      <c r="A26">
        <v>9</v>
      </c>
      <c r="B26" s="153"/>
      <c r="C26" s="408"/>
      <c r="D26" s="408"/>
      <c r="E26" s="408"/>
      <c r="F26" s="408"/>
      <c r="G26" s="152"/>
    </row>
    <row r="27" spans="1:10" x14ac:dyDescent="0.2">
      <c r="A27">
        <v>10</v>
      </c>
      <c r="B27" s="153"/>
      <c r="C27" s="408"/>
      <c r="D27" s="408"/>
      <c r="E27" s="408"/>
      <c r="F27" s="408"/>
      <c r="G27" s="152"/>
    </row>
    <row r="28" spans="1:10" x14ac:dyDescent="0.2">
      <c r="A28">
        <v>11</v>
      </c>
      <c r="B28" s="153"/>
      <c r="C28" s="408"/>
      <c r="D28" s="408"/>
      <c r="E28" s="408"/>
      <c r="F28" s="408"/>
      <c r="G28" s="152"/>
    </row>
    <row r="29" spans="1:10" x14ac:dyDescent="0.2">
      <c r="A29">
        <v>12</v>
      </c>
      <c r="B29" s="153"/>
      <c r="C29" s="408"/>
      <c r="D29" s="408"/>
      <c r="E29" s="408"/>
      <c r="F29" s="408"/>
      <c r="G29" s="152"/>
    </row>
    <row r="30" spans="1:10" x14ac:dyDescent="0.2">
      <c r="C30" s="149" t="s">
        <v>273</v>
      </c>
      <c r="D30" s="409">
        <f>SUM(D18:D29)</f>
        <v>21650.000000000004</v>
      </c>
      <c r="E30" s="409">
        <f>SUM(E18:E29)</f>
        <v>1650.0000000000048</v>
      </c>
      <c r="F30" s="409">
        <f>SUM(F18:F29)</f>
        <v>20000</v>
      </c>
      <c r="I30" s="154">
        <f>+E30+'crdto 2018_1'!E34</f>
        <v>1650.0000000000048</v>
      </c>
    </row>
    <row r="31" spans="1:10" x14ac:dyDescent="0.2">
      <c r="I31">
        <v>1723</v>
      </c>
      <c r="J31" s="154"/>
    </row>
    <row r="32" spans="1:10" ht="13.5" thickBot="1" x14ac:dyDescent="0.25">
      <c r="I32" s="154">
        <f>+I31+I30</f>
        <v>3373.0000000000045</v>
      </c>
    </row>
    <row r="33" spans="2:5" ht="13.5" thickBot="1" x14ac:dyDescent="0.25">
      <c r="B33" s="1119" t="s">
        <v>274</v>
      </c>
      <c r="C33" s="1120"/>
      <c r="D33" s="1120"/>
      <c r="E33" s="1121"/>
    </row>
    <row r="34" spans="2:5" ht="13.5" thickBot="1" x14ac:dyDescent="0.25">
      <c r="B34" s="155" t="s">
        <v>275</v>
      </c>
      <c r="C34" s="156" t="s">
        <v>276</v>
      </c>
      <c r="D34" s="157" t="s">
        <v>277</v>
      </c>
      <c r="E34" s="158" t="s">
        <v>202</v>
      </c>
    </row>
    <row r="35" spans="2:5" x14ac:dyDescent="0.2">
      <c r="B35" s="159">
        <v>2018</v>
      </c>
      <c r="C35" s="145">
        <f>SUM(E18)</f>
        <v>550.00000000000159</v>
      </c>
      <c r="D35" s="145">
        <f>+F18+F19</f>
        <v>8000</v>
      </c>
      <c r="E35" s="160">
        <f>+D35+C35</f>
        <v>8550.0000000000018</v>
      </c>
    </row>
    <row r="36" spans="2:5" ht="13.5" thickBot="1" x14ac:dyDescent="0.25">
      <c r="B36" s="159">
        <v>2019</v>
      </c>
      <c r="C36" s="145">
        <f>SUM(E19:E22)</f>
        <v>1100.0000000000032</v>
      </c>
      <c r="D36" s="145">
        <f>+F20+F21+F22</f>
        <v>12000</v>
      </c>
      <c r="E36" s="161">
        <f>+D36+C36</f>
        <v>13100.000000000004</v>
      </c>
    </row>
    <row r="37" spans="2:5" ht="13.5" thickBot="1" x14ac:dyDescent="0.25">
      <c r="B37" s="162" t="s">
        <v>202</v>
      </c>
      <c r="C37" s="410">
        <f>SUM(C35:C36)</f>
        <v>1650.0000000000048</v>
      </c>
      <c r="D37" s="410">
        <f>SUM(D35:D36)</f>
        <v>20000</v>
      </c>
      <c r="E37" s="163">
        <f>+C37+D37</f>
        <v>21650.000000000004</v>
      </c>
    </row>
    <row r="38" spans="2:5" x14ac:dyDescent="0.2">
      <c r="C38" s="154"/>
    </row>
    <row r="40" spans="2:5" x14ac:dyDescent="0.2">
      <c r="C40" s="154"/>
    </row>
    <row r="41" spans="2:5" x14ac:dyDescent="0.2">
      <c r="C41" s="154"/>
    </row>
    <row r="42" spans="2:5" x14ac:dyDescent="0.2">
      <c r="C42" s="154"/>
    </row>
  </sheetData>
  <mergeCells count="3">
    <mergeCell ref="B2:G2"/>
    <mergeCell ref="B7:D7"/>
    <mergeCell ref="B33:E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Detalle Plan de Adquisiciones</vt:lpstr>
      <vt:lpstr>POA</vt:lpstr>
      <vt:lpstr>crdto 2018_1</vt:lpstr>
      <vt:lpstr>crdto 2018_3</vt:lpstr>
      <vt:lpstr>'Detalle Plan de Adquisiciones'!Área_de_impresión</vt:lpstr>
      <vt:lpstr>POA!Área_de_impresión</vt:lpstr>
      <vt:lpstr>INTERPLAN</vt:lpstr>
      <vt:lpstr>obra</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wb323203</dc:creator>
  <cp:lastModifiedBy>Jefe Financiera</cp:lastModifiedBy>
  <cp:lastPrinted>2018-05-30T16:12:19Z</cp:lastPrinted>
  <dcterms:created xsi:type="dcterms:W3CDTF">2008-08-01T19:30:21Z</dcterms:created>
  <dcterms:modified xsi:type="dcterms:W3CDTF">2018-10-28T15:15:49Z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NewReviewCycle">
    <vt:lpwstr/>
  </property>
</Properties>
</file>